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0\Combate a Incêndio Execução\Versão 2 Sorenge e Obrap\Eprocesso\PB para Eprocesso\"/>
    </mc:Choice>
  </mc:AlternateContent>
  <xr:revisionPtr revIDLastSave="0" documentId="13_ncr:1_{28204EF5-8994-48F6-960D-829FAF8A2337}" xr6:coauthVersionLast="47" xr6:coauthVersionMax="47" xr10:uidLastSave="{00000000-0000-0000-0000-000000000000}"/>
  <bookViews>
    <workbookView xWindow="3540" yWindow="-9756" windowWidth="16368" windowHeight="8592" tabRatio="603" xr2:uid="{C3D827EB-8DDB-4D19-89EA-58439AF0EDAC}"/>
  </bookViews>
  <sheets>
    <sheet name="Preços" sheetId="2" r:id="rId1"/>
    <sheet name="CRONOGRAMA" sheetId="3" r:id="rId2"/>
    <sheet name="BDI_SERVIÇOS_MATERIAIS" sheetId="4" r:id="rId3"/>
    <sheet name="BDI_DIFERENCIADO" sheetId="5" r:id="rId4"/>
    <sheet name="CRONOGRAMA_Fisico-Finaceiro" sheetId="7" r:id="rId5"/>
    <sheet name="COMPOSIÇÃO ENCARGO DESONERADO" sheetId="8" r:id="rId6"/>
    <sheet name="Dados_Curva ABC " sheetId="9" r:id="rId7"/>
    <sheet name="curva abc" sheetId="11" r:id="rId8"/>
  </sheets>
  <definedNames>
    <definedName name="_xlnm._FilterDatabase" localSheetId="1" hidden="1">CRONOGRAMA!$C$5:$CZ$202</definedName>
    <definedName name="_xlnm._FilterDatabase" localSheetId="6" hidden="1">'Dados_Curva ABC '!$C$4:$K$203</definedName>
    <definedName name="_xlnm._FilterDatabase" localSheetId="0" hidden="1">Preços!$B$10:$P$500</definedName>
    <definedName name="_xlnm.Print_Area" localSheetId="3">BDI_DIFERENCIADO!$A$1:$M$31</definedName>
    <definedName name="_xlnm.Print_Area" localSheetId="2">BDI_SERVIÇOS_MATERIAIS!$A$1:$N$30</definedName>
    <definedName name="_xlnm.Print_Area" localSheetId="5">'COMPOSIÇÃO ENCARGO DESONERADO'!$C$1:$H$41</definedName>
    <definedName name="_xlnm.Print_Area" localSheetId="4">'CRONOGRAMA_Fisico-Finaceiro'!$B$2:$T$23</definedName>
    <definedName name="_xlnm.Print_Area" localSheetId="6">'Dados_Curva ABC '!$B$1:$N$212</definedName>
    <definedName name="_xlnm.Print_Area" localSheetId="0">Preços!$B$5:$O$503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5" l="1"/>
  <c r="M14" i="5"/>
  <c r="M15" i="5"/>
  <c r="M16" i="5"/>
  <c r="M17" i="5"/>
  <c r="E10" i="5" s="1"/>
  <c r="M18" i="5"/>
  <c r="M19" i="5"/>
  <c r="M15" i="4"/>
  <c r="M16" i="4"/>
  <c r="M17" i="4"/>
  <c r="M18" i="4"/>
  <c r="E11" i="4" s="1"/>
  <c r="M19" i="4"/>
  <c r="M20" i="4"/>
  <c r="G135" i="3"/>
  <c r="E7" i="9"/>
  <c r="C7" i="9"/>
  <c r="C200" i="9" l="1"/>
  <c r="D200" i="9"/>
  <c r="E200" i="9"/>
  <c r="K200" i="9"/>
  <c r="E199" i="9"/>
  <c r="D199" i="9"/>
  <c r="C199" i="9"/>
  <c r="K198" i="9"/>
  <c r="E198" i="9"/>
  <c r="D198" i="9"/>
  <c r="C198" i="9"/>
  <c r="K197" i="9"/>
  <c r="E197" i="9"/>
  <c r="D197" i="9"/>
  <c r="C197" i="9"/>
  <c r="K196" i="9"/>
  <c r="E196" i="9"/>
  <c r="D196" i="9"/>
  <c r="C196" i="9"/>
  <c r="K195" i="9"/>
  <c r="E195" i="9"/>
  <c r="D195" i="9"/>
  <c r="C195" i="9"/>
  <c r="K194" i="9"/>
  <c r="E194" i="9"/>
  <c r="D194" i="9"/>
  <c r="C194" i="9"/>
  <c r="E193" i="9"/>
  <c r="D193" i="9"/>
  <c r="C193" i="9"/>
  <c r="E192" i="9"/>
  <c r="D192" i="9"/>
  <c r="C192" i="9"/>
  <c r="E191" i="9"/>
  <c r="D191" i="9"/>
  <c r="C191" i="9"/>
  <c r="E190" i="9"/>
  <c r="D190" i="9"/>
  <c r="C190" i="9"/>
  <c r="E189" i="9"/>
  <c r="D189" i="9"/>
  <c r="C189" i="9"/>
  <c r="E188" i="9"/>
  <c r="D188" i="9"/>
  <c r="C188" i="9"/>
  <c r="E187" i="9"/>
  <c r="D187" i="9"/>
  <c r="C187" i="9"/>
  <c r="E186" i="9"/>
  <c r="D186" i="9"/>
  <c r="C186" i="9"/>
  <c r="E185" i="9"/>
  <c r="D185" i="9"/>
  <c r="C185" i="9"/>
  <c r="E184" i="9"/>
  <c r="D184" i="9"/>
  <c r="C184" i="9"/>
  <c r="E183" i="9"/>
  <c r="D183" i="9"/>
  <c r="C183" i="9"/>
  <c r="E182" i="9"/>
  <c r="D182" i="9"/>
  <c r="C182" i="9"/>
  <c r="E181" i="9"/>
  <c r="D181" i="9"/>
  <c r="C181" i="9"/>
  <c r="E180" i="9"/>
  <c r="D180" i="9"/>
  <c r="C180" i="9"/>
  <c r="E179" i="9"/>
  <c r="D179" i="9"/>
  <c r="C179" i="9"/>
  <c r="E178" i="9"/>
  <c r="D178" i="9"/>
  <c r="C178" i="9"/>
  <c r="E177" i="9"/>
  <c r="D177" i="9"/>
  <c r="C177" i="9"/>
  <c r="E176" i="9"/>
  <c r="D176" i="9"/>
  <c r="C176" i="9"/>
  <c r="E175" i="9"/>
  <c r="D175" i="9"/>
  <c r="C175" i="9"/>
  <c r="E174" i="9"/>
  <c r="D174" i="9"/>
  <c r="C174" i="9"/>
  <c r="E173" i="9"/>
  <c r="D173" i="9"/>
  <c r="C173" i="9"/>
  <c r="E172" i="9"/>
  <c r="D172" i="9"/>
  <c r="C172" i="9"/>
  <c r="E171" i="9"/>
  <c r="D171" i="9"/>
  <c r="C171" i="9"/>
  <c r="E170" i="9"/>
  <c r="D170" i="9"/>
  <c r="C170" i="9"/>
  <c r="E169" i="9"/>
  <c r="D169" i="9"/>
  <c r="C169" i="9"/>
  <c r="E168" i="9"/>
  <c r="D168" i="9"/>
  <c r="C168" i="9"/>
  <c r="E167" i="9"/>
  <c r="D167" i="9"/>
  <c r="C167" i="9"/>
  <c r="E166" i="9"/>
  <c r="D166" i="9"/>
  <c r="C166" i="9"/>
  <c r="E165" i="9"/>
  <c r="D165" i="9"/>
  <c r="C165" i="9"/>
  <c r="E164" i="9"/>
  <c r="D164" i="9"/>
  <c r="C164" i="9"/>
  <c r="E163" i="9"/>
  <c r="D163" i="9"/>
  <c r="C163" i="9"/>
  <c r="E162" i="9"/>
  <c r="D162" i="9"/>
  <c r="C162" i="9"/>
  <c r="E161" i="9"/>
  <c r="D161" i="9"/>
  <c r="C161" i="9"/>
  <c r="E160" i="9"/>
  <c r="D160" i="9"/>
  <c r="C160" i="9"/>
  <c r="E159" i="9"/>
  <c r="D159" i="9"/>
  <c r="C159" i="9"/>
  <c r="E158" i="9"/>
  <c r="D158" i="9"/>
  <c r="C158" i="9"/>
  <c r="E157" i="9"/>
  <c r="D157" i="9"/>
  <c r="C157" i="9"/>
  <c r="E156" i="9"/>
  <c r="D156" i="9"/>
  <c r="C156" i="9"/>
  <c r="E155" i="9"/>
  <c r="D155" i="9"/>
  <c r="C155" i="9"/>
  <c r="E154" i="9"/>
  <c r="D154" i="9"/>
  <c r="C154" i="9"/>
  <c r="E153" i="9"/>
  <c r="D153" i="9"/>
  <c r="C153" i="9"/>
  <c r="E152" i="9"/>
  <c r="D152" i="9"/>
  <c r="C152" i="9"/>
  <c r="E151" i="9"/>
  <c r="D151" i="9"/>
  <c r="C151" i="9"/>
  <c r="E150" i="9"/>
  <c r="D150" i="9"/>
  <c r="C150" i="9"/>
  <c r="E149" i="9"/>
  <c r="D149" i="9"/>
  <c r="C149" i="9"/>
  <c r="E148" i="9"/>
  <c r="D148" i="9"/>
  <c r="C148" i="9"/>
  <c r="E147" i="9"/>
  <c r="D147" i="9"/>
  <c r="C147" i="9"/>
  <c r="E146" i="9"/>
  <c r="D146" i="9"/>
  <c r="C146" i="9"/>
  <c r="E145" i="9"/>
  <c r="D145" i="9"/>
  <c r="C145" i="9"/>
  <c r="E144" i="9"/>
  <c r="D144" i="9"/>
  <c r="C144" i="9"/>
  <c r="E143" i="9"/>
  <c r="D143" i="9"/>
  <c r="C143" i="9"/>
  <c r="E142" i="9"/>
  <c r="D142" i="9"/>
  <c r="C142" i="9"/>
  <c r="E141" i="9"/>
  <c r="D141" i="9"/>
  <c r="C141" i="9"/>
  <c r="E140" i="9"/>
  <c r="D140" i="9"/>
  <c r="C140" i="9"/>
  <c r="E139" i="9"/>
  <c r="D139" i="9"/>
  <c r="C139" i="9"/>
  <c r="E138" i="9"/>
  <c r="D138" i="9"/>
  <c r="C138" i="9"/>
  <c r="E137" i="9"/>
  <c r="D137" i="9"/>
  <c r="C137" i="9"/>
  <c r="E136" i="9"/>
  <c r="D136" i="9"/>
  <c r="C136" i="9"/>
  <c r="E135" i="9"/>
  <c r="D135" i="9"/>
  <c r="C135" i="9"/>
  <c r="E134" i="9"/>
  <c r="D134" i="9"/>
  <c r="C134" i="9"/>
  <c r="E133" i="9"/>
  <c r="D133" i="9"/>
  <c r="C133" i="9"/>
  <c r="E132" i="9"/>
  <c r="D132" i="9"/>
  <c r="C132" i="9"/>
  <c r="E131" i="9"/>
  <c r="D131" i="9"/>
  <c r="C131" i="9"/>
  <c r="E130" i="9"/>
  <c r="D130" i="9"/>
  <c r="C130" i="9"/>
  <c r="E129" i="9"/>
  <c r="D129" i="9"/>
  <c r="C129" i="9"/>
  <c r="E128" i="9"/>
  <c r="D128" i="9"/>
  <c r="C128" i="9"/>
  <c r="E127" i="9"/>
  <c r="D127" i="9"/>
  <c r="C127" i="9"/>
  <c r="E126" i="9"/>
  <c r="D126" i="9"/>
  <c r="C126" i="9"/>
  <c r="E125" i="9"/>
  <c r="D125" i="9"/>
  <c r="C125" i="9"/>
  <c r="E124" i="9"/>
  <c r="D124" i="9"/>
  <c r="C124" i="9"/>
  <c r="E123" i="9"/>
  <c r="D123" i="9"/>
  <c r="C123" i="9"/>
  <c r="E122" i="9"/>
  <c r="D122" i="9"/>
  <c r="C122" i="9"/>
  <c r="E121" i="9"/>
  <c r="D121" i="9"/>
  <c r="C121" i="9"/>
  <c r="E120" i="9"/>
  <c r="D120" i="9"/>
  <c r="C120" i="9"/>
  <c r="E119" i="9"/>
  <c r="D119" i="9"/>
  <c r="C119" i="9"/>
  <c r="E118" i="9"/>
  <c r="D118" i="9"/>
  <c r="C118" i="9"/>
  <c r="E117" i="9"/>
  <c r="D117" i="9"/>
  <c r="C117" i="9"/>
  <c r="E116" i="9"/>
  <c r="D116" i="9"/>
  <c r="C116" i="9"/>
  <c r="E115" i="9"/>
  <c r="D115" i="9"/>
  <c r="C115" i="9"/>
  <c r="E114" i="9"/>
  <c r="D114" i="9"/>
  <c r="C114" i="9"/>
  <c r="E113" i="9"/>
  <c r="D113" i="9"/>
  <c r="C113" i="9"/>
  <c r="E112" i="9"/>
  <c r="D112" i="9"/>
  <c r="C112" i="9"/>
  <c r="E111" i="9"/>
  <c r="D111" i="9"/>
  <c r="C111" i="9"/>
  <c r="E110" i="9"/>
  <c r="D110" i="9"/>
  <c r="C110" i="9"/>
  <c r="E109" i="9"/>
  <c r="D109" i="9"/>
  <c r="C109" i="9"/>
  <c r="E108" i="9"/>
  <c r="D108" i="9"/>
  <c r="C108" i="9"/>
  <c r="E107" i="9"/>
  <c r="D107" i="9"/>
  <c r="C107" i="9"/>
  <c r="E106" i="9"/>
  <c r="D106" i="9"/>
  <c r="C106" i="9"/>
  <c r="E105" i="9"/>
  <c r="D105" i="9"/>
  <c r="C105" i="9"/>
  <c r="E104" i="9"/>
  <c r="D104" i="9"/>
  <c r="C104" i="9"/>
  <c r="E103" i="9"/>
  <c r="D103" i="9"/>
  <c r="C103" i="9"/>
  <c r="E102" i="9"/>
  <c r="D102" i="9"/>
  <c r="C102" i="9"/>
  <c r="E101" i="9"/>
  <c r="D101" i="9"/>
  <c r="C101" i="9"/>
  <c r="E100" i="9"/>
  <c r="D100" i="9"/>
  <c r="C100" i="9"/>
  <c r="E99" i="9"/>
  <c r="D99" i="9"/>
  <c r="C99" i="9"/>
  <c r="E98" i="9"/>
  <c r="D98" i="9"/>
  <c r="C98" i="9"/>
  <c r="E97" i="9"/>
  <c r="D97" i="9"/>
  <c r="C97" i="9"/>
  <c r="E96" i="9"/>
  <c r="D96" i="9"/>
  <c r="C96" i="9"/>
  <c r="E95" i="9"/>
  <c r="D95" i="9"/>
  <c r="C95" i="9"/>
  <c r="E94" i="9"/>
  <c r="D94" i="9"/>
  <c r="C94" i="9"/>
  <c r="E93" i="9"/>
  <c r="D93" i="9"/>
  <c r="C93" i="9"/>
  <c r="E92" i="9"/>
  <c r="D92" i="9"/>
  <c r="C92" i="9"/>
  <c r="E91" i="9"/>
  <c r="D91" i="9"/>
  <c r="C91" i="9"/>
  <c r="E90" i="9"/>
  <c r="D90" i="9"/>
  <c r="C90" i="9"/>
  <c r="E89" i="9"/>
  <c r="D89" i="9"/>
  <c r="C89" i="9"/>
  <c r="E88" i="9"/>
  <c r="D88" i="9"/>
  <c r="C88" i="9"/>
  <c r="E87" i="9"/>
  <c r="D87" i="9"/>
  <c r="C87" i="9"/>
  <c r="E86" i="9"/>
  <c r="D86" i="9"/>
  <c r="C86" i="9"/>
  <c r="E85" i="9"/>
  <c r="D85" i="9"/>
  <c r="C85" i="9"/>
  <c r="E84" i="9"/>
  <c r="D84" i="9"/>
  <c r="C84" i="9"/>
  <c r="E83" i="9"/>
  <c r="D83" i="9"/>
  <c r="C83" i="9"/>
  <c r="E82" i="9"/>
  <c r="D82" i="9"/>
  <c r="C82" i="9"/>
  <c r="E81" i="9"/>
  <c r="D81" i="9"/>
  <c r="C81" i="9"/>
  <c r="E80" i="9"/>
  <c r="D80" i="9"/>
  <c r="C80" i="9"/>
  <c r="E79" i="9"/>
  <c r="D79" i="9"/>
  <c r="C79" i="9"/>
  <c r="E78" i="9"/>
  <c r="D78" i="9"/>
  <c r="C78" i="9"/>
  <c r="E77" i="9"/>
  <c r="D77" i="9"/>
  <c r="C77" i="9"/>
  <c r="E76" i="9"/>
  <c r="D76" i="9"/>
  <c r="C76" i="9"/>
  <c r="E75" i="9"/>
  <c r="D75" i="9"/>
  <c r="C75" i="9"/>
  <c r="E74" i="9"/>
  <c r="D74" i="9"/>
  <c r="C74" i="9"/>
  <c r="E73" i="9"/>
  <c r="D73" i="9"/>
  <c r="C73" i="9"/>
  <c r="E72" i="9"/>
  <c r="D72" i="9"/>
  <c r="C72" i="9"/>
  <c r="E71" i="9"/>
  <c r="D71" i="9"/>
  <c r="C71" i="9"/>
  <c r="E70" i="9"/>
  <c r="D70" i="9"/>
  <c r="C70" i="9"/>
  <c r="E69" i="9"/>
  <c r="D69" i="9"/>
  <c r="C69" i="9"/>
  <c r="E68" i="9"/>
  <c r="D68" i="9"/>
  <c r="C68" i="9"/>
  <c r="E67" i="9"/>
  <c r="D67" i="9"/>
  <c r="C67" i="9"/>
  <c r="E66" i="9"/>
  <c r="D66" i="9"/>
  <c r="C66" i="9"/>
  <c r="E65" i="9"/>
  <c r="D65" i="9"/>
  <c r="C65" i="9"/>
  <c r="E64" i="9"/>
  <c r="D64" i="9"/>
  <c r="C64" i="9"/>
  <c r="E63" i="9"/>
  <c r="D63" i="9"/>
  <c r="C63" i="9"/>
  <c r="E62" i="9"/>
  <c r="D62" i="9"/>
  <c r="C62" i="9"/>
  <c r="E61" i="9"/>
  <c r="D61" i="9"/>
  <c r="C61" i="9"/>
  <c r="E60" i="9"/>
  <c r="D60" i="9"/>
  <c r="C60" i="9"/>
  <c r="E59" i="9"/>
  <c r="D59" i="9"/>
  <c r="C59" i="9"/>
  <c r="E58" i="9"/>
  <c r="D58" i="9"/>
  <c r="C58" i="9"/>
  <c r="E57" i="9"/>
  <c r="D57" i="9"/>
  <c r="C57" i="9"/>
  <c r="E56" i="9"/>
  <c r="D56" i="9"/>
  <c r="C56" i="9"/>
  <c r="E55" i="9"/>
  <c r="D55" i="9"/>
  <c r="C55" i="9"/>
  <c r="E54" i="9"/>
  <c r="D54" i="9"/>
  <c r="C54" i="9"/>
  <c r="E53" i="9"/>
  <c r="D53" i="9"/>
  <c r="C53" i="9"/>
  <c r="E52" i="9"/>
  <c r="D52" i="9"/>
  <c r="C52" i="9"/>
  <c r="E51" i="9"/>
  <c r="D51" i="9"/>
  <c r="C51" i="9"/>
  <c r="E50" i="9"/>
  <c r="D50" i="9"/>
  <c r="C50" i="9"/>
  <c r="E49" i="9"/>
  <c r="D49" i="9"/>
  <c r="C49" i="9"/>
  <c r="E48" i="9"/>
  <c r="D48" i="9"/>
  <c r="C48" i="9"/>
  <c r="E47" i="9"/>
  <c r="D47" i="9"/>
  <c r="C47" i="9"/>
  <c r="E46" i="9"/>
  <c r="D46" i="9"/>
  <c r="C46" i="9"/>
  <c r="E45" i="9"/>
  <c r="D45" i="9"/>
  <c r="C45" i="9"/>
  <c r="E44" i="9"/>
  <c r="D44" i="9"/>
  <c r="C44" i="9"/>
  <c r="E43" i="9"/>
  <c r="D43" i="9"/>
  <c r="C43" i="9"/>
  <c r="E42" i="9"/>
  <c r="D42" i="9"/>
  <c r="C42" i="9"/>
  <c r="E41" i="9"/>
  <c r="D41" i="9"/>
  <c r="C41" i="9"/>
  <c r="E40" i="9"/>
  <c r="D40" i="9"/>
  <c r="C40" i="9"/>
  <c r="E39" i="9"/>
  <c r="D39" i="9"/>
  <c r="C39" i="9"/>
  <c r="E38" i="9"/>
  <c r="D38" i="9"/>
  <c r="C38" i="9"/>
  <c r="E37" i="9"/>
  <c r="D37" i="9"/>
  <c r="C37" i="9"/>
  <c r="E36" i="9"/>
  <c r="D36" i="9"/>
  <c r="C36" i="9"/>
  <c r="E35" i="9"/>
  <c r="D35" i="9"/>
  <c r="C35" i="9"/>
  <c r="E34" i="9"/>
  <c r="D34" i="9"/>
  <c r="C34" i="9"/>
  <c r="E33" i="9"/>
  <c r="D33" i="9"/>
  <c r="C33" i="9"/>
  <c r="E32" i="9"/>
  <c r="D32" i="9"/>
  <c r="C32" i="9"/>
  <c r="E31" i="9"/>
  <c r="D31" i="9"/>
  <c r="C31" i="9"/>
  <c r="E30" i="9"/>
  <c r="D30" i="9"/>
  <c r="C30" i="9"/>
  <c r="E29" i="9"/>
  <c r="D29" i="9"/>
  <c r="C29" i="9"/>
  <c r="E28" i="9"/>
  <c r="D28" i="9"/>
  <c r="C28" i="9"/>
  <c r="E27" i="9"/>
  <c r="D27" i="9"/>
  <c r="C27" i="9"/>
  <c r="E26" i="9"/>
  <c r="D26" i="9"/>
  <c r="C26" i="9"/>
  <c r="E25" i="9"/>
  <c r="D25" i="9"/>
  <c r="C25" i="9"/>
  <c r="E24" i="9"/>
  <c r="D24" i="9"/>
  <c r="C24" i="9"/>
  <c r="E23" i="9"/>
  <c r="D23" i="9"/>
  <c r="C23" i="9"/>
  <c r="E22" i="9"/>
  <c r="D22" i="9"/>
  <c r="C22" i="9"/>
  <c r="E21" i="9"/>
  <c r="D21" i="9"/>
  <c r="C21" i="9"/>
  <c r="E20" i="9"/>
  <c r="D20" i="9"/>
  <c r="C20" i="9"/>
  <c r="E19" i="9"/>
  <c r="D19" i="9"/>
  <c r="C19" i="9"/>
  <c r="E18" i="9"/>
  <c r="D18" i="9"/>
  <c r="C18" i="9"/>
  <c r="E17" i="9"/>
  <c r="D17" i="9"/>
  <c r="C17" i="9"/>
  <c r="E16" i="9"/>
  <c r="D16" i="9"/>
  <c r="C16" i="9"/>
  <c r="E15" i="9"/>
  <c r="D15" i="9"/>
  <c r="C15" i="9"/>
  <c r="E14" i="9"/>
  <c r="D14" i="9"/>
  <c r="C14" i="9"/>
  <c r="E13" i="9"/>
  <c r="D13" i="9"/>
  <c r="C13" i="9"/>
  <c r="E12" i="9"/>
  <c r="D12" i="9"/>
  <c r="C12" i="9"/>
  <c r="E11" i="9"/>
  <c r="D11" i="9"/>
  <c r="C11" i="9"/>
  <c r="E10" i="9"/>
  <c r="D10" i="9"/>
  <c r="C10" i="9"/>
  <c r="E9" i="9"/>
  <c r="D9" i="9"/>
  <c r="C9" i="9"/>
  <c r="E8" i="9"/>
  <c r="D8" i="9"/>
  <c r="C8" i="9"/>
  <c r="F6" i="9"/>
  <c r="E6" i="9"/>
  <c r="D6" i="9"/>
  <c r="C6" i="9"/>
  <c r="E5" i="9"/>
  <c r="D5" i="9"/>
  <c r="C5" i="9"/>
  <c r="S18" i="7" l="1"/>
  <c r="R18" i="7"/>
  <c r="Q18" i="7"/>
  <c r="P18" i="7"/>
  <c r="O18" i="7"/>
  <c r="N18" i="7"/>
  <c r="M18" i="7"/>
  <c r="L18" i="7"/>
  <c r="K18" i="7"/>
  <c r="J18" i="7"/>
  <c r="H18" i="7"/>
  <c r="G18" i="7"/>
  <c r="F18" i="7"/>
  <c r="E18" i="7"/>
  <c r="D18" i="7"/>
  <c r="C18" i="7"/>
  <c r="S14" i="7"/>
  <c r="R14" i="7"/>
  <c r="Q14" i="7"/>
  <c r="P14" i="7"/>
  <c r="O14" i="7"/>
  <c r="N14" i="7"/>
  <c r="M14" i="7"/>
  <c r="L14" i="7"/>
  <c r="K14" i="7"/>
  <c r="J14" i="7"/>
  <c r="I14" i="7"/>
  <c r="E14" i="7"/>
  <c r="D14" i="7"/>
  <c r="C14" i="7"/>
  <c r="G12" i="7"/>
  <c r="D12" i="7"/>
  <c r="N168" i="3"/>
  <c r="O168" i="3" s="1"/>
  <c r="N167" i="3"/>
  <c r="O167" i="3" s="1"/>
  <c r="N166" i="3"/>
  <c r="O166" i="3" s="1"/>
  <c r="O134" i="3"/>
  <c r="O135" i="3"/>
  <c r="O133" i="3"/>
  <c r="N133" i="3"/>
  <c r="N134" i="3"/>
  <c r="N135" i="3"/>
  <c r="I134" i="3"/>
  <c r="H134" i="3"/>
  <c r="J246" i="2"/>
  <c r="H195" i="3" l="1"/>
  <c r="H194" i="3"/>
  <c r="F194" i="3"/>
  <c r="F101" i="9" s="1"/>
  <c r="F195" i="3"/>
  <c r="F95" i="9" s="1"/>
  <c r="F166" i="3"/>
  <c r="F183" i="9" s="1"/>
  <c r="F167" i="3"/>
  <c r="F154" i="9" s="1"/>
  <c r="F168" i="3"/>
  <c r="F174" i="9" s="1"/>
  <c r="F134" i="3"/>
  <c r="F5" i="9" s="1"/>
  <c r="F135" i="3"/>
  <c r="F58" i="9" s="1"/>
  <c r="G350" i="2" l="1"/>
  <c r="J350" i="2" s="1"/>
  <c r="G354" i="2"/>
  <c r="G358" i="2"/>
  <c r="G349" i="2"/>
  <c r="E363" i="2"/>
  <c r="G363" i="2" s="1"/>
  <c r="I363" i="2" s="1"/>
  <c r="E362" i="2"/>
  <c r="G362" i="2" s="1"/>
  <c r="I362" i="2" s="1"/>
  <c r="E361" i="2"/>
  <c r="G361" i="2" s="1"/>
  <c r="J361" i="2" s="1"/>
  <c r="E360" i="2"/>
  <c r="G360" i="2" s="1"/>
  <c r="J360" i="2" s="1"/>
  <c r="E359" i="2"/>
  <c r="G359" i="2" s="1"/>
  <c r="J359" i="2" s="1"/>
  <c r="E357" i="2"/>
  <c r="G357" i="2" s="1"/>
  <c r="I357" i="2" s="1"/>
  <c r="E356" i="2"/>
  <c r="G356" i="2" s="1"/>
  <c r="I356" i="2" s="1"/>
  <c r="E355" i="2"/>
  <c r="G355" i="2" s="1"/>
  <c r="J355" i="2" s="1"/>
  <c r="E352" i="2"/>
  <c r="G352" i="2" s="1"/>
  <c r="I352" i="2" s="1"/>
  <c r="E351" i="2"/>
  <c r="G351" i="2" s="1"/>
  <c r="J351" i="2" s="1"/>
  <c r="E353" i="2"/>
  <c r="G353" i="2" s="1"/>
  <c r="I353" i="2" s="1"/>
  <c r="G489" i="2"/>
  <c r="J489" i="2" s="1"/>
  <c r="G469" i="2"/>
  <c r="J469" i="2" s="1"/>
  <c r="G468" i="2"/>
  <c r="J468" i="2" s="1"/>
  <c r="I237" i="2"/>
  <c r="H135" i="3" s="1"/>
  <c r="I244" i="2"/>
  <c r="J239" i="2"/>
  <c r="I245" i="2"/>
  <c r="I243" i="2"/>
  <c r="J242" i="2"/>
  <c r="J241" i="2"/>
  <c r="J240" i="2"/>
  <c r="J486" i="2" l="1"/>
  <c r="G199" i="3" s="1"/>
  <c r="G195" i="3"/>
  <c r="G194" i="3"/>
  <c r="I354" i="2"/>
  <c r="H167" i="3" s="1"/>
  <c r="J354" i="2"/>
  <c r="J470" i="2"/>
  <c r="J358" i="2"/>
  <c r="I349" i="2"/>
  <c r="H166" i="3" s="1"/>
  <c r="I358" i="2"/>
  <c r="H168" i="3" s="1"/>
  <c r="J349" i="2"/>
  <c r="J238" i="2"/>
  <c r="G133" i="3" s="1"/>
  <c r="I238" i="2"/>
  <c r="H133" i="3" s="1"/>
  <c r="G166" i="3" l="1"/>
  <c r="G168" i="3"/>
  <c r="G167" i="3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J309" i="2"/>
  <c r="J308" i="2" s="1"/>
  <c r="G309" i="2"/>
  <c r="G431" i="2" l="1"/>
  <c r="G430" i="2"/>
  <c r="G393" i="2"/>
  <c r="G383" i="2"/>
  <c r="G382" i="2"/>
  <c r="G391" i="2"/>
  <c r="G390" i="2"/>
  <c r="G387" i="2"/>
  <c r="G386" i="2"/>
  <c r="G375" i="2"/>
  <c r="G374" i="2"/>
  <c r="G370" i="2"/>
  <c r="G369" i="2"/>
  <c r="G297" i="2"/>
  <c r="E226" i="2"/>
  <c r="E225" i="2"/>
  <c r="E223" i="2"/>
  <c r="G223" i="2" s="1"/>
  <c r="E224" i="2"/>
  <c r="G224" i="2" s="1"/>
  <c r="J224" i="2" s="1"/>
  <c r="G155" i="2" l="1"/>
  <c r="G226" i="2" l="1"/>
  <c r="G225" i="2"/>
  <c r="G21" i="2"/>
  <c r="G19" i="2"/>
  <c r="G18" i="2"/>
  <c r="G17" i="2"/>
  <c r="G229" i="2"/>
  <c r="G230" i="2"/>
  <c r="G228" i="2"/>
  <c r="G82" i="2"/>
  <c r="G12" i="2"/>
  <c r="G29" i="2"/>
  <c r="G24" i="2"/>
  <c r="G23" i="2"/>
  <c r="G14" i="2"/>
  <c r="G13" i="2"/>
  <c r="I13" i="2" s="1"/>
  <c r="J284" i="2" l="1"/>
  <c r="G426" i="2" l="1"/>
  <c r="J426" i="2" s="1"/>
  <c r="H144" i="3" l="1"/>
  <c r="G144" i="3"/>
  <c r="E21" i="7" l="1"/>
  <c r="F21" i="7"/>
  <c r="G21" i="7"/>
  <c r="H21" i="7"/>
  <c r="I21" i="7"/>
  <c r="J21" i="7"/>
  <c r="K21" i="7"/>
  <c r="L21" i="7"/>
  <c r="M21" i="7"/>
  <c r="N21" i="7"/>
  <c r="O21" i="7"/>
  <c r="P21" i="7"/>
  <c r="Q21" i="7"/>
  <c r="S21" i="7"/>
  <c r="D21" i="7"/>
  <c r="C21" i="7"/>
  <c r="S17" i="7"/>
  <c r="S19" i="7"/>
  <c r="S20" i="7"/>
  <c r="S11" i="7"/>
  <c r="C20" i="7"/>
  <c r="Q19" i="7"/>
  <c r="P19" i="7"/>
  <c r="O19" i="7"/>
  <c r="N19" i="7"/>
  <c r="M19" i="7"/>
  <c r="L19" i="7"/>
  <c r="K19" i="7"/>
  <c r="J19" i="7"/>
  <c r="H19" i="7"/>
  <c r="G19" i="7"/>
  <c r="F19" i="7"/>
  <c r="E19" i="7"/>
  <c r="D19" i="7"/>
  <c r="G22" i="7"/>
  <c r="E22" i="7"/>
  <c r="D22" i="7"/>
  <c r="F27" i="8" l="1"/>
  <c r="G38" i="8"/>
  <c r="F38" i="8"/>
  <c r="G34" i="8"/>
  <c r="F34" i="8"/>
  <c r="G27" i="8"/>
  <c r="G15" i="8"/>
  <c r="G39" i="8" s="1"/>
  <c r="F15" i="8"/>
  <c r="F39" i="8" s="1"/>
  <c r="E487" i="2"/>
  <c r="I14" i="2"/>
  <c r="E25" i="2"/>
  <c r="G25" i="2" s="1"/>
  <c r="I25" i="2" s="1"/>
  <c r="E26" i="2"/>
  <c r="J18" i="2"/>
  <c r="J19" i="2"/>
  <c r="G20" i="2"/>
  <c r="J20" i="2" s="1"/>
  <c r="J21" i="2"/>
  <c r="G22" i="2"/>
  <c r="J22" i="2" s="1"/>
  <c r="J23" i="2"/>
  <c r="J24" i="2"/>
  <c r="E35" i="2"/>
  <c r="G35" i="2" s="1"/>
  <c r="I35" i="2" s="1"/>
  <c r="E36" i="2"/>
  <c r="G36" i="2" s="1"/>
  <c r="I36" i="2" s="1"/>
  <c r="E28" i="2"/>
  <c r="G28" i="2" s="1"/>
  <c r="J28" i="2" s="1"/>
  <c r="J29" i="2"/>
  <c r="G30" i="2"/>
  <c r="J30" i="2" s="1"/>
  <c r="G31" i="2"/>
  <c r="J31" i="2" s="1"/>
  <c r="G32" i="2"/>
  <c r="J32" i="2" s="1"/>
  <c r="G33" i="2"/>
  <c r="G34" i="2"/>
  <c r="J34" i="2" s="1"/>
  <c r="G44" i="2"/>
  <c r="I44" i="2" s="1"/>
  <c r="G45" i="2"/>
  <c r="I45" i="2" s="1"/>
  <c r="G38" i="2"/>
  <c r="J38" i="2" s="1"/>
  <c r="G39" i="2"/>
  <c r="J39" i="2" s="1"/>
  <c r="G40" i="2"/>
  <c r="J40" i="2" s="1"/>
  <c r="G41" i="2"/>
  <c r="J41" i="2" s="1"/>
  <c r="G42" i="2"/>
  <c r="J42" i="2" s="1"/>
  <c r="G43" i="2"/>
  <c r="E48" i="2"/>
  <c r="G48" i="2" s="1"/>
  <c r="I48" i="2" s="1"/>
  <c r="E49" i="2"/>
  <c r="G49" i="2" s="1"/>
  <c r="I49" i="2" s="1"/>
  <c r="E47" i="2"/>
  <c r="G47" i="2" s="1"/>
  <c r="J47" i="2" s="1"/>
  <c r="J46" i="2" s="1"/>
  <c r="E52" i="2"/>
  <c r="G52" i="2" s="1"/>
  <c r="I52" i="2" s="1"/>
  <c r="E53" i="2"/>
  <c r="G53" i="2" s="1"/>
  <c r="I53" i="2" s="1"/>
  <c r="E51" i="2"/>
  <c r="G51" i="2" s="1"/>
  <c r="J51" i="2" s="1"/>
  <c r="J50" i="2" s="1"/>
  <c r="E58" i="2"/>
  <c r="G58" i="2" s="1"/>
  <c r="I58" i="2" s="1"/>
  <c r="E59" i="2"/>
  <c r="G59" i="2" s="1"/>
  <c r="I59" i="2" s="1"/>
  <c r="E55" i="2"/>
  <c r="G55" i="2" s="1"/>
  <c r="J55" i="2" s="1"/>
  <c r="E56" i="2"/>
  <c r="G56" i="2" s="1"/>
  <c r="J56" i="2" s="1"/>
  <c r="G57" i="2"/>
  <c r="J57" i="2" s="1"/>
  <c r="E62" i="2"/>
  <c r="G62" i="2" s="1"/>
  <c r="I62" i="2" s="1"/>
  <c r="E63" i="2"/>
  <c r="G63" i="2" s="1"/>
  <c r="I63" i="2" s="1"/>
  <c r="G61" i="2"/>
  <c r="E67" i="2"/>
  <c r="G67" i="2" s="1"/>
  <c r="E68" i="2"/>
  <c r="G68" i="2" s="1"/>
  <c r="I68" i="2" s="1"/>
  <c r="E65" i="2"/>
  <c r="G65" i="2" s="1"/>
  <c r="J65" i="2" s="1"/>
  <c r="E66" i="2"/>
  <c r="G66" i="2" s="1"/>
  <c r="J66" i="2" s="1"/>
  <c r="E73" i="2"/>
  <c r="G73" i="2" s="1"/>
  <c r="I73" i="2" s="1"/>
  <c r="E74" i="2"/>
  <c r="G74" i="2" s="1"/>
  <c r="I74" i="2" s="1"/>
  <c r="E70" i="2"/>
  <c r="G70" i="2" s="1"/>
  <c r="J70" i="2" s="1"/>
  <c r="E71" i="2"/>
  <c r="G71" i="2" s="1"/>
  <c r="J71" i="2" s="1"/>
  <c r="E72" i="2"/>
  <c r="G72" i="2" s="1"/>
  <c r="J72" i="2" s="1"/>
  <c r="E84" i="2"/>
  <c r="G84" i="2" s="1"/>
  <c r="I84" i="2" s="1"/>
  <c r="E85" i="2"/>
  <c r="G85" i="2" s="1"/>
  <c r="I85" i="2" s="1"/>
  <c r="E83" i="2"/>
  <c r="G83" i="2" s="1"/>
  <c r="J83" i="2" s="1"/>
  <c r="E89" i="2"/>
  <c r="G89" i="2" s="1"/>
  <c r="I89" i="2" s="1"/>
  <c r="E90" i="2"/>
  <c r="G90" i="2" s="1"/>
  <c r="I90" i="2" s="1"/>
  <c r="E88" i="2"/>
  <c r="G88" i="2" s="1"/>
  <c r="J88" i="2" s="1"/>
  <c r="E93" i="2"/>
  <c r="G93" i="2" s="1"/>
  <c r="I93" i="2" s="1"/>
  <c r="E94" i="2"/>
  <c r="G94" i="2" s="1"/>
  <c r="I94" i="2" s="1"/>
  <c r="E92" i="2"/>
  <c r="G92" i="2" s="1"/>
  <c r="J92" i="2" s="1"/>
  <c r="E97" i="2"/>
  <c r="G97" i="2" s="1"/>
  <c r="I97" i="2" s="1"/>
  <c r="E98" i="2"/>
  <c r="G98" i="2" s="1"/>
  <c r="I98" i="2" s="1"/>
  <c r="E96" i="2"/>
  <c r="G96" i="2" s="1"/>
  <c r="J96" i="2" s="1"/>
  <c r="J95" i="2" s="1"/>
  <c r="E101" i="2"/>
  <c r="G101" i="2" s="1"/>
  <c r="I101" i="2" s="1"/>
  <c r="E102" i="2"/>
  <c r="G102" i="2" s="1"/>
  <c r="I102" i="2" s="1"/>
  <c r="E100" i="2"/>
  <c r="G100" i="2" s="1"/>
  <c r="J100" i="2" s="1"/>
  <c r="J99" i="2" s="1"/>
  <c r="E105" i="2"/>
  <c r="G105" i="2" s="1"/>
  <c r="I105" i="2" s="1"/>
  <c r="E106" i="2"/>
  <c r="G106" i="2" s="1"/>
  <c r="I106" i="2" s="1"/>
  <c r="E104" i="2"/>
  <c r="G104" i="2" s="1"/>
  <c r="J104" i="2" s="1"/>
  <c r="J103" i="2" s="1"/>
  <c r="E107" i="2"/>
  <c r="E109" i="2" s="1"/>
  <c r="G109" i="2" s="1"/>
  <c r="I109" i="2" s="1"/>
  <c r="E113" i="2"/>
  <c r="G113" i="2" s="1"/>
  <c r="I113" i="2" s="1"/>
  <c r="E114" i="2"/>
  <c r="G114" i="2" s="1"/>
  <c r="I114" i="2" s="1"/>
  <c r="E112" i="2"/>
  <c r="G112" i="2" s="1"/>
  <c r="J112" i="2" s="1"/>
  <c r="J111" i="2" s="1"/>
  <c r="E117" i="2"/>
  <c r="G117" i="2" s="1"/>
  <c r="I117" i="2" s="1"/>
  <c r="E118" i="2"/>
  <c r="G118" i="2" s="1"/>
  <c r="I118" i="2" s="1"/>
  <c r="E123" i="2"/>
  <c r="G123" i="2" s="1"/>
  <c r="I123" i="2" s="1"/>
  <c r="E124" i="2"/>
  <c r="G124" i="2" s="1"/>
  <c r="I124" i="2" s="1"/>
  <c r="E120" i="2"/>
  <c r="G120" i="2" s="1"/>
  <c r="J120" i="2" s="1"/>
  <c r="E121" i="2"/>
  <c r="G121" i="2" s="1"/>
  <c r="J121" i="2" s="1"/>
  <c r="E122" i="2"/>
  <c r="G122" i="2" s="1"/>
  <c r="J122" i="2" s="1"/>
  <c r="E129" i="2"/>
  <c r="G129" i="2" s="1"/>
  <c r="I129" i="2" s="1"/>
  <c r="E130" i="2"/>
  <c r="G130" i="2" s="1"/>
  <c r="I130" i="2" s="1"/>
  <c r="E126" i="2"/>
  <c r="G126" i="2" s="1"/>
  <c r="J126" i="2" s="1"/>
  <c r="G127" i="2"/>
  <c r="J127" i="2" s="1"/>
  <c r="E128" i="2"/>
  <c r="G128" i="2" s="1"/>
  <c r="J128" i="2" s="1"/>
  <c r="E131" i="2"/>
  <c r="E133" i="2" s="1"/>
  <c r="G133" i="2" s="1"/>
  <c r="I133" i="2" s="1"/>
  <c r="E139" i="2"/>
  <c r="E140" i="2"/>
  <c r="E137" i="2"/>
  <c r="E138" i="2"/>
  <c r="E145" i="2"/>
  <c r="E146" i="2"/>
  <c r="E143" i="2"/>
  <c r="E144" i="2"/>
  <c r="E147" i="2"/>
  <c r="E150" i="2" s="1"/>
  <c r="G150" i="2" s="1"/>
  <c r="J150" i="2" s="1"/>
  <c r="E158" i="2"/>
  <c r="G158" i="2" s="1"/>
  <c r="I158" i="2" s="1"/>
  <c r="E159" i="2"/>
  <c r="G159" i="2" s="1"/>
  <c r="I159" i="2" s="1"/>
  <c r="E154" i="2"/>
  <c r="G154" i="2" s="1"/>
  <c r="J154" i="2" s="1"/>
  <c r="J155" i="2"/>
  <c r="E157" i="2"/>
  <c r="G157" i="2" s="1"/>
  <c r="J157" i="2" s="1"/>
  <c r="E165" i="2"/>
  <c r="G165" i="2" s="1"/>
  <c r="I165" i="2" s="1"/>
  <c r="E166" i="2"/>
  <c r="G166" i="2" s="1"/>
  <c r="I166" i="2" s="1"/>
  <c r="E161" i="2"/>
  <c r="G162" i="2"/>
  <c r="J162" i="2" s="1"/>
  <c r="E164" i="2"/>
  <c r="G164" i="2" s="1"/>
  <c r="J164" i="2" s="1"/>
  <c r="E171" i="2"/>
  <c r="E172" i="2"/>
  <c r="E168" i="2"/>
  <c r="E169" i="2"/>
  <c r="E170" i="2"/>
  <c r="E177" i="2"/>
  <c r="E178" i="2"/>
  <c r="E174" i="2"/>
  <c r="E175" i="2"/>
  <c r="E176" i="2"/>
  <c r="E183" i="2"/>
  <c r="G183" i="2" s="1"/>
  <c r="I183" i="2" s="1"/>
  <c r="E184" i="2"/>
  <c r="G184" i="2" s="1"/>
  <c r="I184" i="2" s="1"/>
  <c r="E180" i="2"/>
  <c r="E181" i="2"/>
  <c r="G181" i="2" s="1"/>
  <c r="J181" i="2" s="1"/>
  <c r="E182" i="2"/>
  <c r="G182" i="2" s="1"/>
  <c r="J182" i="2" s="1"/>
  <c r="E189" i="2"/>
  <c r="G189" i="2" s="1"/>
  <c r="I189" i="2" s="1"/>
  <c r="E190" i="2"/>
  <c r="G190" i="2" s="1"/>
  <c r="I190" i="2" s="1"/>
  <c r="E186" i="2"/>
  <c r="G186" i="2" s="1"/>
  <c r="J186" i="2" s="1"/>
  <c r="E187" i="2"/>
  <c r="G187" i="2" s="1"/>
  <c r="J187" i="2" s="1"/>
  <c r="E188" i="2"/>
  <c r="G188" i="2" s="1"/>
  <c r="J188" i="2" s="1"/>
  <c r="E191" i="2"/>
  <c r="E195" i="2" s="1"/>
  <c r="G195" i="2" s="1"/>
  <c r="I195" i="2" s="1"/>
  <c r="E197" i="2"/>
  <c r="E198" i="2" s="1"/>
  <c r="G198" i="2" s="1"/>
  <c r="J198" i="2" s="1"/>
  <c r="E205" i="2"/>
  <c r="G205" i="2" s="1"/>
  <c r="I205" i="2" s="1"/>
  <c r="E206" i="2"/>
  <c r="G206" i="2" s="1"/>
  <c r="I206" i="2" s="1"/>
  <c r="E211" i="2"/>
  <c r="G211" i="2" s="1"/>
  <c r="I211" i="2" s="1"/>
  <c r="E212" i="2"/>
  <c r="G212" i="2" s="1"/>
  <c r="I212" i="2" s="1"/>
  <c r="E208" i="2"/>
  <c r="G208" i="2" s="1"/>
  <c r="J208" i="2" s="1"/>
  <c r="E209" i="2"/>
  <c r="G209" i="2" s="1"/>
  <c r="J209" i="2" s="1"/>
  <c r="E210" i="2"/>
  <c r="G210" i="2" s="1"/>
  <c r="J210" i="2" s="1"/>
  <c r="E213" i="2"/>
  <c r="E215" i="2" s="1"/>
  <c r="G215" i="2" s="1"/>
  <c r="I215" i="2" s="1"/>
  <c r="E220" i="2"/>
  <c r="E221" i="2"/>
  <c r="G221" i="2" s="1"/>
  <c r="I221" i="2" s="1"/>
  <c r="E218" i="2"/>
  <c r="G218" i="2" s="1"/>
  <c r="J218" i="2" s="1"/>
  <c r="E219" i="2"/>
  <c r="G219" i="2" s="1"/>
  <c r="J219" i="2" s="1"/>
  <c r="J223" i="2"/>
  <c r="G234" i="2"/>
  <c r="G235" i="2"/>
  <c r="J228" i="2"/>
  <c r="J229" i="2"/>
  <c r="J230" i="2"/>
  <c r="G231" i="2"/>
  <c r="J231" i="2" s="1"/>
  <c r="G232" i="2"/>
  <c r="J232" i="2" s="1"/>
  <c r="G233" i="2"/>
  <c r="J233" i="2" s="1"/>
  <c r="G236" i="2"/>
  <c r="J236" i="2" s="1"/>
  <c r="G134" i="3" s="1"/>
  <c r="E252" i="2"/>
  <c r="E253" i="2"/>
  <c r="G253" i="2" s="1"/>
  <c r="I253" i="2" s="1"/>
  <c r="G256" i="2"/>
  <c r="I256" i="2" s="1"/>
  <c r="G257" i="2"/>
  <c r="I257" i="2" s="1"/>
  <c r="G255" i="2"/>
  <c r="G260" i="2"/>
  <c r="I260" i="2" s="1"/>
  <c r="G261" i="2"/>
  <c r="I261" i="2" s="1"/>
  <c r="G259" i="2"/>
  <c r="G264" i="2"/>
  <c r="I264" i="2" s="1"/>
  <c r="G265" i="2"/>
  <c r="I265" i="2" s="1"/>
  <c r="G263" i="2"/>
  <c r="J263" i="2" s="1"/>
  <c r="J262" i="2" s="1"/>
  <c r="G268" i="2"/>
  <c r="I268" i="2" s="1"/>
  <c r="G269" i="2"/>
  <c r="I269" i="2" s="1"/>
  <c r="G267" i="2"/>
  <c r="G272" i="2"/>
  <c r="I272" i="2" s="1"/>
  <c r="G273" i="2"/>
  <c r="I273" i="2" s="1"/>
  <c r="G271" i="2"/>
  <c r="J271" i="2" s="1"/>
  <c r="J270" i="2" s="1"/>
  <c r="G276" i="2"/>
  <c r="I276" i="2" s="1"/>
  <c r="G277" i="2"/>
  <c r="I277" i="2" s="1"/>
  <c r="G275" i="2"/>
  <c r="G282" i="2"/>
  <c r="I282" i="2" s="1"/>
  <c r="G283" i="2"/>
  <c r="I283" i="2" s="1"/>
  <c r="G281" i="2"/>
  <c r="G292" i="2"/>
  <c r="I292" i="2" s="1"/>
  <c r="G293" i="2"/>
  <c r="I293" i="2" s="1"/>
  <c r="G291" i="2"/>
  <c r="I297" i="2"/>
  <c r="G298" i="2"/>
  <c r="I298" i="2" s="1"/>
  <c r="G296" i="2"/>
  <c r="J296" i="2" s="1"/>
  <c r="J295" i="2" s="1"/>
  <c r="G302" i="2"/>
  <c r="I302" i="2" s="1"/>
  <c r="G303" i="2"/>
  <c r="I303" i="2" s="1"/>
  <c r="E300" i="2"/>
  <c r="G300" i="2" s="1"/>
  <c r="J300" i="2" s="1"/>
  <c r="G301" i="2"/>
  <c r="J301" i="2" s="1"/>
  <c r="G306" i="2"/>
  <c r="I306" i="2" s="1"/>
  <c r="G307" i="2"/>
  <c r="I307" i="2" s="1"/>
  <c r="G305" i="2"/>
  <c r="G310" i="2"/>
  <c r="I310" i="2" s="1"/>
  <c r="G311" i="2"/>
  <c r="I311" i="2" s="1"/>
  <c r="G312" i="2"/>
  <c r="I312" i="2" s="1"/>
  <c r="E315" i="2"/>
  <c r="G315" i="2" s="1"/>
  <c r="I315" i="2" s="1"/>
  <c r="E316" i="2"/>
  <c r="G316" i="2" s="1"/>
  <c r="I316" i="2" s="1"/>
  <c r="E314" i="2"/>
  <c r="G314" i="2" s="1"/>
  <c r="J314" i="2" s="1"/>
  <c r="J313" i="2" s="1"/>
  <c r="G319" i="2"/>
  <c r="I319" i="2" s="1"/>
  <c r="G320" i="2"/>
  <c r="I320" i="2" s="1"/>
  <c r="G318" i="2"/>
  <c r="G323" i="2"/>
  <c r="I323" i="2" s="1"/>
  <c r="G324" i="2"/>
  <c r="I324" i="2" s="1"/>
  <c r="G322" i="2"/>
  <c r="J322" i="2" s="1"/>
  <c r="G327" i="2"/>
  <c r="I327" i="2" s="1"/>
  <c r="G328" i="2"/>
  <c r="I328" i="2" s="1"/>
  <c r="G326" i="2"/>
  <c r="J326" i="2" s="1"/>
  <c r="J325" i="2" s="1"/>
  <c r="G331" i="2"/>
  <c r="I331" i="2" s="1"/>
  <c r="G332" i="2"/>
  <c r="I332" i="2" s="1"/>
  <c r="G330" i="2"/>
  <c r="G335" i="2"/>
  <c r="I335" i="2" s="1"/>
  <c r="G336" i="2"/>
  <c r="I336" i="2" s="1"/>
  <c r="G334" i="2"/>
  <c r="G339" i="2"/>
  <c r="I339" i="2" s="1"/>
  <c r="G340" i="2"/>
  <c r="I340" i="2" s="1"/>
  <c r="G338" i="2"/>
  <c r="G343" i="2"/>
  <c r="I343" i="2" s="1"/>
  <c r="G344" i="2"/>
  <c r="I344" i="2" s="1"/>
  <c r="G347" i="2"/>
  <c r="G348" i="2"/>
  <c r="G342" i="2"/>
  <c r="J342" i="2" s="1"/>
  <c r="G346" i="2"/>
  <c r="J346" i="2" s="1"/>
  <c r="J345" i="2" s="1"/>
  <c r="I369" i="2"/>
  <c r="I370" i="2"/>
  <c r="G368" i="2"/>
  <c r="I374" i="2"/>
  <c r="I375" i="2"/>
  <c r="G373" i="2"/>
  <c r="G378" i="2"/>
  <c r="I378" i="2" s="1"/>
  <c r="G379" i="2"/>
  <c r="I379" i="2" s="1"/>
  <c r="I382" i="2"/>
  <c r="G381" i="2"/>
  <c r="J381" i="2" s="1"/>
  <c r="J380" i="2" s="1"/>
  <c r="I386" i="2"/>
  <c r="I387" i="2"/>
  <c r="G385" i="2"/>
  <c r="I390" i="2"/>
  <c r="I391" i="2"/>
  <c r="G389" i="2"/>
  <c r="I406" i="2"/>
  <c r="J393" i="2"/>
  <c r="E394" i="2"/>
  <c r="J395" i="2"/>
  <c r="J396" i="2"/>
  <c r="J397" i="2"/>
  <c r="J398" i="2"/>
  <c r="J399" i="2"/>
  <c r="J400" i="2"/>
  <c r="J401" i="2"/>
  <c r="J402" i="2"/>
  <c r="J403" i="2"/>
  <c r="J404" i="2"/>
  <c r="J405" i="2"/>
  <c r="E414" i="2"/>
  <c r="G414" i="2" s="1"/>
  <c r="I414" i="2" s="1"/>
  <c r="E415" i="2"/>
  <c r="G415" i="2" s="1"/>
  <c r="I415" i="2" s="1"/>
  <c r="E412" i="2"/>
  <c r="J412" i="2" s="1"/>
  <c r="E413" i="2"/>
  <c r="G413" i="2" s="1"/>
  <c r="J413" i="2" s="1"/>
  <c r="E419" i="2"/>
  <c r="G419" i="2" s="1"/>
  <c r="I419" i="2" s="1"/>
  <c r="E420" i="2"/>
  <c r="G420" i="2" s="1"/>
  <c r="E417" i="2"/>
  <c r="G417" i="2" s="1"/>
  <c r="J417" i="2" s="1"/>
  <c r="E418" i="2"/>
  <c r="G418" i="2" s="1"/>
  <c r="J418" i="2" s="1"/>
  <c r="E424" i="2"/>
  <c r="G424" i="2" s="1"/>
  <c r="I424" i="2" s="1"/>
  <c r="E425" i="2"/>
  <c r="G425" i="2" s="1"/>
  <c r="I425" i="2" s="1"/>
  <c r="E422" i="2"/>
  <c r="G422" i="2" s="1"/>
  <c r="J422" i="2" s="1"/>
  <c r="E423" i="2"/>
  <c r="G423" i="2" s="1"/>
  <c r="J423" i="2" s="1"/>
  <c r="G428" i="2"/>
  <c r="G429" i="2"/>
  <c r="I429" i="2" s="1"/>
  <c r="G436" i="2"/>
  <c r="I436" i="2" s="1"/>
  <c r="I434" i="2" s="1"/>
  <c r="J435" i="2"/>
  <c r="J434" i="2" s="1"/>
  <c r="G439" i="2"/>
  <c r="I439" i="2" s="1"/>
  <c r="I437" i="2" s="1"/>
  <c r="J438" i="2"/>
  <c r="J437" i="2" s="1"/>
  <c r="G442" i="2"/>
  <c r="I442" i="2" s="1"/>
  <c r="J441" i="2"/>
  <c r="J440" i="2" s="1"/>
  <c r="G445" i="2"/>
  <c r="I445" i="2" s="1"/>
  <c r="I443" i="2" s="1"/>
  <c r="H187" i="3" s="1"/>
  <c r="G444" i="2"/>
  <c r="J444" i="2" s="1"/>
  <c r="J443" i="2" s="1"/>
  <c r="G448" i="2"/>
  <c r="I448" i="2" s="1"/>
  <c r="I446" i="2" s="1"/>
  <c r="G447" i="2"/>
  <c r="J447" i="2" s="1"/>
  <c r="J446" i="2" s="1"/>
  <c r="G451" i="2"/>
  <c r="I451" i="2" s="1"/>
  <c r="I449" i="2" s="1"/>
  <c r="G450" i="2"/>
  <c r="G454" i="2"/>
  <c r="I454" i="2" s="1"/>
  <c r="I452" i="2" s="1"/>
  <c r="H190" i="3" s="1"/>
  <c r="G453" i="2"/>
  <c r="J453" i="2" s="1"/>
  <c r="G457" i="2"/>
  <c r="I457" i="2" s="1"/>
  <c r="I455" i="2" s="1"/>
  <c r="G456" i="2"/>
  <c r="G460" i="2"/>
  <c r="I460" i="2" s="1"/>
  <c r="G459" i="2"/>
  <c r="I463" i="2"/>
  <c r="I461" i="2" s="1"/>
  <c r="G462" i="2"/>
  <c r="G473" i="2"/>
  <c r="I473" i="2" s="1"/>
  <c r="G474" i="2"/>
  <c r="I474" i="2" s="1"/>
  <c r="G475" i="2"/>
  <c r="I475" i="2" s="1"/>
  <c r="G477" i="2"/>
  <c r="I477" i="2" s="1"/>
  <c r="G478" i="2"/>
  <c r="I478" i="2" s="1"/>
  <c r="G479" i="2"/>
  <c r="I479" i="2" s="1"/>
  <c r="G481" i="2"/>
  <c r="I481" i="2" s="1"/>
  <c r="G482" i="2"/>
  <c r="I482" i="2" s="1"/>
  <c r="G483" i="2"/>
  <c r="I483" i="2" s="1"/>
  <c r="G491" i="2"/>
  <c r="I491" i="2" s="1"/>
  <c r="H200" i="3" s="1"/>
  <c r="G494" i="2"/>
  <c r="I494" i="2" s="1"/>
  <c r="G495" i="2"/>
  <c r="I495" i="2" s="1"/>
  <c r="E488" i="2"/>
  <c r="G488" i="2" s="1"/>
  <c r="I488" i="2" s="1"/>
  <c r="G294" i="2"/>
  <c r="J294" i="2" s="1"/>
  <c r="G151" i="3" s="1"/>
  <c r="H151" i="3" s="1"/>
  <c r="G173" i="3"/>
  <c r="H180" i="3"/>
  <c r="H182" i="3"/>
  <c r="H183" i="3"/>
  <c r="E116" i="2"/>
  <c r="G116" i="2" s="1"/>
  <c r="J116" i="2" s="1"/>
  <c r="K28" i="4"/>
  <c r="K20" i="4" s="1"/>
  <c r="C10" i="7"/>
  <c r="C11" i="7"/>
  <c r="C12" i="7"/>
  <c r="C13" i="7"/>
  <c r="C15" i="7"/>
  <c r="C16" i="7"/>
  <c r="C17" i="7"/>
  <c r="C19" i="7"/>
  <c r="C22" i="7"/>
  <c r="D9" i="7"/>
  <c r="D13" i="7"/>
  <c r="D15" i="7"/>
  <c r="D16" i="7"/>
  <c r="D17" i="7"/>
  <c r="E9" i="7"/>
  <c r="E13" i="7"/>
  <c r="E15" i="7"/>
  <c r="E16" i="7"/>
  <c r="E17" i="7"/>
  <c r="F9" i="7"/>
  <c r="F10" i="7"/>
  <c r="F15" i="7"/>
  <c r="F16" i="7"/>
  <c r="F17" i="7"/>
  <c r="F22" i="7"/>
  <c r="G9" i="7"/>
  <c r="G10" i="7"/>
  <c r="G13" i="7"/>
  <c r="AK145" i="3"/>
  <c r="AK146" i="3"/>
  <c r="AK147" i="3"/>
  <c r="AK148" i="3"/>
  <c r="G15" i="7"/>
  <c r="G16" i="7"/>
  <c r="G17" i="7"/>
  <c r="H9" i="7"/>
  <c r="H10" i="7"/>
  <c r="H12" i="7"/>
  <c r="H13" i="7"/>
  <c r="G377" i="2"/>
  <c r="J377" i="2" s="1"/>
  <c r="J376" i="2" s="1"/>
  <c r="G172" i="3" s="1"/>
  <c r="AP170" i="3"/>
  <c r="H17" i="7"/>
  <c r="H22" i="7"/>
  <c r="I9" i="7"/>
  <c r="I10" i="7"/>
  <c r="I12" i="7"/>
  <c r="I13" i="7"/>
  <c r="I15" i="7"/>
  <c r="AX201" i="3"/>
  <c r="I22" i="7"/>
  <c r="J9" i="7"/>
  <c r="J10" i="7"/>
  <c r="J12" i="7"/>
  <c r="J13" i="7"/>
  <c r="J15" i="7"/>
  <c r="J16" i="7"/>
  <c r="J17" i="7"/>
  <c r="J22" i="7"/>
  <c r="K9" i="7"/>
  <c r="K10" i="7"/>
  <c r="K12" i="7"/>
  <c r="K13" i="7"/>
  <c r="K15" i="7"/>
  <c r="K16" i="7"/>
  <c r="K17" i="7"/>
  <c r="K22" i="7"/>
  <c r="L9" i="7"/>
  <c r="L10" i="7"/>
  <c r="L12" i="7"/>
  <c r="L13" i="7"/>
  <c r="L15" i="7"/>
  <c r="L16" i="7"/>
  <c r="L17" i="7"/>
  <c r="L22" i="7"/>
  <c r="M9" i="7"/>
  <c r="M10" i="7"/>
  <c r="M12" i="7"/>
  <c r="M13" i="7"/>
  <c r="M15" i="7"/>
  <c r="M16" i="7"/>
  <c r="M17" i="7"/>
  <c r="M22" i="7"/>
  <c r="N9" i="7"/>
  <c r="N10" i="7"/>
  <c r="N12" i="7"/>
  <c r="N13" i="7"/>
  <c r="N15" i="7"/>
  <c r="N16" i="7"/>
  <c r="N17" i="7"/>
  <c r="N22" i="7"/>
  <c r="O9" i="7"/>
  <c r="O10" i="7"/>
  <c r="O12" i="7"/>
  <c r="O13" i="7"/>
  <c r="O15" i="7"/>
  <c r="O16" i="7"/>
  <c r="O17" i="7"/>
  <c r="O22" i="7"/>
  <c r="P9" i="7"/>
  <c r="P10" i="7"/>
  <c r="P12" i="7"/>
  <c r="P13" i="7"/>
  <c r="P15" i="7"/>
  <c r="P16" i="7"/>
  <c r="P17" i="7"/>
  <c r="P22" i="7"/>
  <c r="Q9" i="7"/>
  <c r="Q10" i="7"/>
  <c r="Q12" i="7"/>
  <c r="Q13" i="7"/>
  <c r="Q15" i="7"/>
  <c r="Q16" i="7"/>
  <c r="Q17" i="7"/>
  <c r="Q22" i="7"/>
  <c r="R9" i="7"/>
  <c r="R10" i="7"/>
  <c r="R12" i="7"/>
  <c r="R13" i="7"/>
  <c r="R15" i="7"/>
  <c r="R16" i="7"/>
  <c r="R17" i="7"/>
  <c r="R22" i="7"/>
  <c r="S9" i="7"/>
  <c r="S10" i="7"/>
  <c r="S12" i="7"/>
  <c r="S13" i="7"/>
  <c r="S15" i="7"/>
  <c r="S16" i="7"/>
  <c r="N193" i="3"/>
  <c r="O193" i="3" s="1"/>
  <c r="N192" i="3"/>
  <c r="O192" i="3" s="1"/>
  <c r="N191" i="3"/>
  <c r="O191" i="3" s="1"/>
  <c r="N190" i="3"/>
  <c r="O190" i="3" s="1"/>
  <c r="N189" i="3"/>
  <c r="O189" i="3" s="1"/>
  <c r="N188" i="3"/>
  <c r="O188" i="3" s="1"/>
  <c r="N187" i="3"/>
  <c r="O187" i="3" s="1"/>
  <c r="N186" i="3"/>
  <c r="O186" i="3" s="1"/>
  <c r="N185" i="3"/>
  <c r="O185" i="3" s="1"/>
  <c r="N184" i="3"/>
  <c r="O184" i="3" s="1"/>
  <c r="N183" i="3"/>
  <c r="O183" i="3" s="1"/>
  <c r="N182" i="3"/>
  <c r="O182" i="3" s="1"/>
  <c r="N181" i="3"/>
  <c r="O181" i="3" s="1"/>
  <c r="N180" i="3"/>
  <c r="O180" i="3" s="1"/>
  <c r="N176" i="3"/>
  <c r="O176" i="3" s="1"/>
  <c r="N175" i="3"/>
  <c r="O175" i="3" s="1"/>
  <c r="N174" i="3"/>
  <c r="O174" i="3" s="1"/>
  <c r="N173" i="3"/>
  <c r="O173" i="3" s="1"/>
  <c r="N172" i="3"/>
  <c r="O172" i="3" s="1"/>
  <c r="N171" i="3"/>
  <c r="O171" i="3" s="1"/>
  <c r="N170" i="3"/>
  <c r="O170" i="3" s="1"/>
  <c r="N165" i="3"/>
  <c r="O165" i="3" s="1"/>
  <c r="N164" i="3"/>
  <c r="O164" i="3" s="1"/>
  <c r="N163" i="3"/>
  <c r="O163" i="3" s="1"/>
  <c r="N162" i="3"/>
  <c r="O162" i="3" s="1"/>
  <c r="N161" i="3"/>
  <c r="O161" i="3" s="1"/>
  <c r="N160" i="3"/>
  <c r="O160" i="3" s="1"/>
  <c r="N159" i="3"/>
  <c r="O159" i="3" s="1"/>
  <c r="N158" i="3"/>
  <c r="O158" i="3" s="1"/>
  <c r="N157" i="3"/>
  <c r="O157" i="3" s="1"/>
  <c r="N156" i="3"/>
  <c r="O156" i="3" s="1"/>
  <c r="N155" i="3"/>
  <c r="O155" i="3" s="1"/>
  <c r="N154" i="3"/>
  <c r="O154" i="3" s="1"/>
  <c r="N153" i="3"/>
  <c r="O153" i="3" s="1"/>
  <c r="N152" i="3"/>
  <c r="O152" i="3" s="1"/>
  <c r="N151" i="3"/>
  <c r="O151" i="3" s="1"/>
  <c r="N150" i="3"/>
  <c r="O150" i="3" s="1"/>
  <c r="N149" i="3"/>
  <c r="O149" i="3" s="1"/>
  <c r="N148" i="3"/>
  <c r="O148" i="3" s="1"/>
  <c r="N147" i="3"/>
  <c r="O147" i="3" s="1"/>
  <c r="N146" i="3"/>
  <c r="O146" i="3" s="1"/>
  <c r="N145" i="3"/>
  <c r="O145" i="3" s="1"/>
  <c r="N144" i="3"/>
  <c r="O144" i="3" s="1"/>
  <c r="N143" i="3"/>
  <c r="O143" i="3" s="1"/>
  <c r="N142" i="3"/>
  <c r="O142" i="3" s="1"/>
  <c r="N141" i="3"/>
  <c r="O141" i="3" s="1"/>
  <c r="N140" i="3"/>
  <c r="O140" i="3" s="1"/>
  <c r="N139" i="3"/>
  <c r="O139" i="3" s="1"/>
  <c r="N138" i="3"/>
  <c r="O138" i="3" s="1"/>
  <c r="N137" i="3"/>
  <c r="O13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8" i="3"/>
  <c r="O8" i="3" s="1"/>
  <c r="N6" i="3"/>
  <c r="O6" i="3" s="1"/>
  <c r="P6" i="3" s="1"/>
  <c r="P133" i="3" s="1"/>
  <c r="P134" i="3" s="1"/>
  <c r="P135" i="3" s="1"/>
  <c r="N7" i="3"/>
  <c r="O7" i="3" s="1"/>
  <c r="N136" i="3"/>
  <c r="O136" i="3" s="1"/>
  <c r="N169" i="3"/>
  <c r="O169" i="3" s="1"/>
  <c r="N197" i="3"/>
  <c r="O197" i="3" s="1"/>
  <c r="F197" i="3"/>
  <c r="F111" i="9" s="1"/>
  <c r="G438" i="2"/>
  <c r="G441" i="2"/>
  <c r="E87" i="2"/>
  <c r="G87" i="2" s="1"/>
  <c r="G284" i="2"/>
  <c r="G285" i="2"/>
  <c r="G286" i="2"/>
  <c r="G287" i="2"/>
  <c r="G288" i="2"/>
  <c r="G289" i="2"/>
  <c r="F198" i="3"/>
  <c r="F139" i="9" s="1"/>
  <c r="N198" i="3"/>
  <c r="O198" i="3" s="1"/>
  <c r="N200" i="3"/>
  <c r="O200" i="3" s="1"/>
  <c r="F200" i="3"/>
  <c r="F107" i="9" s="1"/>
  <c r="N196" i="3"/>
  <c r="O196" i="3" s="1"/>
  <c r="F196" i="3"/>
  <c r="F118" i="9" s="1"/>
  <c r="F133" i="3"/>
  <c r="F9" i="9" s="1"/>
  <c r="N18" i="3"/>
  <c r="O18" i="3" s="1"/>
  <c r="N19" i="3"/>
  <c r="O19" i="3" s="1"/>
  <c r="N20" i="3"/>
  <c r="O20" i="3" s="1"/>
  <c r="N21" i="3"/>
  <c r="O21" i="3" s="1"/>
  <c r="N24" i="3"/>
  <c r="O24" i="3" s="1"/>
  <c r="N25" i="3"/>
  <c r="O25" i="3" s="1"/>
  <c r="N26" i="3"/>
  <c r="O26" i="3" s="1"/>
  <c r="N27" i="3"/>
  <c r="O27" i="3" s="1"/>
  <c r="N28" i="3"/>
  <c r="O28" i="3" s="1"/>
  <c r="N29" i="3"/>
  <c r="O29" i="3" s="1"/>
  <c r="N30" i="3"/>
  <c r="O30" i="3" s="1"/>
  <c r="N31" i="3"/>
  <c r="O31" i="3" s="1"/>
  <c r="N32" i="3"/>
  <c r="O32" i="3" s="1"/>
  <c r="N33" i="3"/>
  <c r="O33" i="3" s="1"/>
  <c r="N34" i="3"/>
  <c r="O34" i="3" s="1"/>
  <c r="N35" i="3"/>
  <c r="O35" i="3" s="1"/>
  <c r="N36" i="3"/>
  <c r="O36" i="3" s="1"/>
  <c r="N37" i="3"/>
  <c r="O37" i="3" s="1"/>
  <c r="N38" i="3"/>
  <c r="O38" i="3" s="1"/>
  <c r="N39" i="3"/>
  <c r="O39" i="3" s="1"/>
  <c r="N40" i="3"/>
  <c r="O40" i="3" s="1"/>
  <c r="N41" i="3"/>
  <c r="O41" i="3" s="1"/>
  <c r="N42" i="3"/>
  <c r="O42" i="3" s="1"/>
  <c r="N43" i="3"/>
  <c r="O43" i="3" s="1"/>
  <c r="N17" i="3"/>
  <c r="O17" i="3" s="1"/>
  <c r="N76" i="3"/>
  <c r="O76" i="3" s="1"/>
  <c r="N77" i="3"/>
  <c r="O77" i="3" s="1"/>
  <c r="N78" i="3"/>
  <c r="O78" i="3" s="1"/>
  <c r="N79" i="3"/>
  <c r="O79" i="3" s="1"/>
  <c r="N80" i="3"/>
  <c r="O80" i="3" s="1"/>
  <c r="N81" i="3"/>
  <c r="O81" i="3" s="1"/>
  <c r="N82" i="3"/>
  <c r="O82" i="3" s="1"/>
  <c r="N83" i="3"/>
  <c r="O83" i="3" s="1"/>
  <c r="N84" i="3"/>
  <c r="O84" i="3" s="1"/>
  <c r="N85" i="3"/>
  <c r="O85" i="3" s="1"/>
  <c r="N86" i="3"/>
  <c r="O86" i="3" s="1"/>
  <c r="N87" i="3"/>
  <c r="N88" i="3"/>
  <c r="O88" i="3" s="1"/>
  <c r="N89" i="3"/>
  <c r="O89" i="3" s="1"/>
  <c r="N90" i="3"/>
  <c r="O90" i="3" s="1"/>
  <c r="N91" i="3"/>
  <c r="O91" i="3" s="1"/>
  <c r="N92" i="3"/>
  <c r="O92" i="3" s="1"/>
  <c r="N93" i="3"/>
  <c r="O93" i="3" s="1"/>
  <c r="N94" i="3"/>
  <c r="O94" i="3" s="1"/>
  <c r="N95" i="3"/>
  <c r="O95" i="3" s="1"/>
  <c r="N96" i="3"/>
  <c r="O96" i="3" s="1"/>
  <c r="N97" i="3"/>
  <c r="O97" i="3" s="1"/>
  <c r="N98" i="3"/>
  <c r="O98" i="3" s="1"/>
  <c r="N99" i="3"/>
  <c r="O99" i="3" s="1"/>
  <c r="N100" i="3"/>
  <c r="O100" i="3" s="1"/>
  <c r="N101" i="3"/>
  <c r="O101" i="3" s="1"/>
  <c r="N102" i="3"/>
  <c r="O102" i="3" s="1"/>
  <c r="N103" i="3"/>
  <c r="O103" i="3" s="1"/>
  <c r="N75" i="3"/>
  <c r="O75" i="3" s="1"/>
  <c r="N132" i="3"/>
  <c r="O132" i="3" s="1"/>
  <c r="F132" i="3"/>
  <c r="F49" i="9" s="1"/>
  <c r="N131" i="3"/>
  <c r="O131" i="3" s="1"/>
  <c r="F131" i="3"/>
  <c r="F69" i="9" s="1"/>
  <c r="N130" i="3"/>
  <c r="O130" i="3" s="1"/>
  <c r="F130" i="3"/>
  <c r="F181" i="9" s="1"/>
  <c r="N129" i="3"/>
  <c r="O129" i="3" s="1"/>
  <c r="F129" i="3"/>
  <c r="F191" i="9" s="1"/>
  <c r="N128" i="3"/>
  <c r="O128" i="3" s="1"/>
  <c r="F128" i="3"/>
  <c r="F150" i="9" s="1"/>
  <c r="F127" i="3"/>
  <c r="F166" i="9" s="1"/>
  <c r="N126" i="3"/>
  <c r="O126" i="3" s="1"/>
  <c r="F126" i="3"/>
  <c r="F93" i="9" s="1"/>
  <c r="N125" i="3"/>
  <c r="O125" i="3" s="1"/>
  <c r="F125" i="3"/>
  <c r="F143" i="9" s="1"/>
  <c r="N124" i="3"/>
  <c r="O124" i="3" s="1"/>
  <c r="F124" i="3"/>
  <c r="F87" i="9" s="1"/>
  <c r="N123" i="3"/>
  <c r="O123" i="3" s="1"/>
  <c r="F123" i="3"/>
  <c r="F108" i="9" s="1"/>
  <c r="N122" i="3"/>
  <c r="O122" i="3" s="1"/>
  <c r="F122" i="3"/>
  <c r="F156" i="9" s="1"/>
  <c r="F121" i="3"/>
  <c r="F76" i="9" s="1"/>
  <c r="F120" i="3"/>
  <c r="F63" i="9" s="1"/>
  <c r="F119" i="3"/>
  <c r="F79" i="9" s="1"/>
  <c r="F118" i="3"/>
  <c r="F162" i="9" s="1"/>
  <c r="F117" i="3"/>
  <c r="F175" i="9" s="1"/>
  <c r="F116" i="3"/>
  <c r="F164" i="9" s="1"/>
  <c r="F115" i="3"/>
  <c r="F112" i="9" s="1"/>
  <c r="F114" i="3"/>
  <c r="F88" i="9" s="1"/>
  <c r="F113" i="3"/>
  <c r="F147" i="9" s="1"/>
  <c r="F112" i="3"/>
  <c r="F190" i="9" s="1"/>
  <c r="F111" i="3"/>
  <c r="F94" i="9" s="1"/>
  <c r="F110" i="3"/>
  <c r="F96" i="9" s="1"/>
  <c r="N109" i="3"/>
  <c r="O109" i="3" s="1"/>
  <c r="F109" i="3"/>
  <c r="F70" i="9" s="1"/>
  <c r="F108" i="3"/>
  <c r="F85" i="9" s="1"/>
  <c r="F107" i="3"/>
  <c r="F25" i="9" s="1"/>
  <c r="F106" i="3"/>
  <c r="F31" i="9" s="1"/>
  <c r="F105" i="3"/>
  <c r="F169" i="9" s="1"/>
  <c r="F104" i="3"/>
  <c r="F75" i="9" s="1"/>
  <c r="F103" i="3"/>
  <c r="F18" i="9" s="1"/>
  <c r="F102" i="3"/>
  <c r="F33" i="9" s="1"/>
  <c r="F101" i="3"/>
  <c r="F165" i="9" s="1"/>
  <c r="F100" i="3"/>
  <c r="F180" i="9" s="1"/>
  <c r="F99" i="3"/>
  <c r="F125" i="9" s="1"/>
  <c r="F98" i="3"/>
  <c r="F145" i="9" s="1"/>
  <c r="F97" i="3"/>
  <c r="F67" i="9" s="1"/>
  <c r="F96" i="3"/>
  <c r="F109" i="9" s="1"/>
  <c r="F95" i="3"/>
  <c r="F56" i="9" s="1"/>
  <c r="F94" i="3"/>
  <c r="F83" i="9" s="1"/>
  <c r="F93" i="3"/>
  <c r="F130" i="9" s="1"/>
  <c r="F92" i="3"/>
  <c r="F44" i="9" s="1"/>
  <c r="F91" i="3"/>
  <c r="F27" i="9" s="1"/>
  <c r="F90" i="3"/>
  <c r="F45" i="9" s="1"/>
  <c r="F89" i="3"/>
  <c r="F138" i="9" s="1"/>
  <c r="F88" i="3"/>
  <c r="F155" i="9" s="1"/>
  <c r="F87" i="3"/>
  <c r="F144" i="9" s="1"/>
  <c r="F86" i="3"/>
  <c r="F86" i="9" s="1"/>
  <c r="F85" i="3"/>
  <c r="F57" i="9" s="1"/>
  <c r="F84" i="3"/>
  <c r="F123" i="9" s="1"/>
  <c r="F83" i="3"/>
  <c r="F176" i="9" s="1"/>
  <c r="F82" i="3"/>
  <c r="F71" i="9" s="1"/>
  <c r="F81" i="3"/>
  <c r="F73" i="9" s="1"/>
  <c r="F80" i="3"/>
  <c r="F34" i="9" s="1"/>
  <c r="F79" i="3"/>
  <c r="F54" i="9" s="1"/>
  <c r="F78" i="3"/>
  <c r="F14" i="9" s="1"/>
  <c r="F77" i="3"/>
  <c r="F15" i="9" s="1"/>
  <c r="F76" i="3"/>
  <c r="F146" i="9" s="1"/>
  <c r="F75" i="3"/>
  <c r="F43" i="9" s="1"/>
  <c r="L74" i="3"/>
  <c r="N74" i="3" s="1"/>
  <c r="O74" i="3" s="1"/>
  <c r="F74" i="3"/>
  <c r="F17" i="9" s="1"/>
  <c r="L73" i="3"/>
  <c r="N73" i="3" s="1"/>
  <c r="O73" i="3" s="1"/>
  <c r="F73" i="3"/>
  <c r="F26" i="9" s="1"/>
  <c r="N72" i="3"/>
  <c r="O72" i="3" s="1"/>
  <c r="F72" i="3"/>
  <c r="F161" i="9" s="1"/>
  <c r="N71" i="3"/>
  <c r="O71" i="3" s="1"/>
  <c r="F71" i="3"/>
  <c r="F178" i="9" s="1"/>
  <c r="F70" i="3"/>
  <c r="F117" i="9" s="1"/>
  <c r="F69" i="3"/>
  <c r="F137" i="9" s="1"/>
  <c r="F68" i="3"/>
  <c r="F61" i="9" s="1"/>
  <c r="F67" i="3"/>
  <c r="F106" i="9" s="1"/>
  <c r="F66" i="3"/>
  <c r="F52" i="9" s="1"/>
  <c r="F65" i="3"/>
  <c r="F78" i="9" s="1"/>
  <c r="F64" i="3"/>
  <c r="F127" i="9" s="1"/>
  <c r="F63" i="3"/>
  <c r="F39" i="9" s="1"/>
  <c r="F62" i="3"/>
  <c r="F21" i="9" s="1"/>
  <c r="F61" i="3"/>
  <c r="F41" i="9" s="1"/>
  <c r="F60" i="3"/>
  <c r="F133" i="9" s="1"/>
  <c r="F59" i="3"/>
  <c r="F151" i="9" s="1"/>
  <c r="F58" i="3"/>
  <c r="F135" i="9" s="1"/>
  <c r="F57" i="3"/>
  <c r="F81" i="9" s="1"/>
  <c r="F56" i="3"/>
  <c r="F53" i="9" s="1"/>
  <c r="F55" i="3"/>
  <c r="F115" i="9" s="1"/>
  <c r="F54" i="3"/>
  <c r="F173" i="9" s="1"/>
  <c r="F53" i="3"/>
  <c r="F64" i="9" s="1"/>
  <c r="L52" i="3"/>
  <c r="N52" i="3" s="1"/>
  <c r="O52" i="3" s="1"/>
  <c r="F52" i="3"/>
  <c r="F66" i="9" s="1"/>
  <c r="L51" i="3"/>
  <c r="N51" i="3" s="1"/>
  <c r="O51" i="3" s="1"/>
  <c r="F51" i="3"/>
  <c r="F28" i="9" s="1"/>
  <c r="F50" i="3"/>
  <c r="F47" i="9" s="1"/>
  <c r="F49" i="3"/>
  <c r="F11" i="9" s="1"/>
  <c r="F48" i="3"/>
  <c r="F13" i="9" s="1"/>
  <c r="F47" i="3"/>
  <c r="F142" i="9" s="1"/>
  <c r="F46" i="3"/>
  <c r="F37" i="9" s="1"/>
  <c r="L45" i="3"/>
  <c r="N45" i="3" s="1"/>
  <c r="O45" i="3" s="1"/>
  <c r="F45" i="3"/>
  <c r="F16" i="9" s="1"/>
  <c r="L44" i="3"/>
  <c r="N44" i="3" s="1"/>
  <c r="O44" i="3" s="1"/>
  <c r="F44" i="3"/>
  <c r="F23" i="9" s="1"/>
  <c r="F43" i="3"/>
  <c r="F160" i="9" s="1"/>
  <c r="F42" i="3"/>
  <c r="F177" i="9" s="1"/>
  <c r="F41" i="3"/>
  <c r="F116" i="9" s="1"/>
  <c r="F40" i="3"/>
  <c r="F136" i="9" s="1"/>
  <c r="F39" i="3"/>
  <c r="F59" i="9" s="1"/>
  <c r="F38" i="3"/>
  <c r="F104" i="9" s="1"/>
  <c r="F37" i="3"/>
  <c r="F50" i="9" s="1"/>
  <c r="F36" i="3"/>
  <c r="F77" i="9" s="1"/>
  <c r="F35" i="3"/>
  <c r="F126" i="9" s="1"/>
  <c r="F34" i="3"/>
  <c r="F36" i="9" s="1"/>
  <c r="F33" i="3"/>
  <c r="F20" i="9" s="1"/>
  <c r="F32" i="3"/>
  <c r="F40" i="9" s="1"/>
  <c r="F31" i="3"/>
  <c r="F132" i="9" s="1"/>
  <c r="F30" i="3"/>
  <c r="F149" i="9" s="1"/>
  <c r="F29" i="3"/>
  <c r="F134" i="9" s="1"/>
  <c r="F28" i="3"/>
  <c r="F80" i="9" s="1"/>
  <c r="F27" i="3"/>
  <c r="F51" i="9" s="1"/>
  <c r="F26" i="3"/>
  <c r="F114" i="9" s="1"/>
  <c r="F25" i="3"/>
  <c r="F171" i="9" s="1"/>
  <c r="F24" i="3"/>
  <c r="F62" i="9" s="1"/>
  <c r="F23" i="3"/>
  <c r="F65" i="9" s="1"/>
  <c r="L22" i="3"/>
  <c r="N22" i="3" s="1"/>
  <c r="O22" i="3" s="1"/>
  <c r="F22" i="3"/>
  <c r="F24" i="9" s="1"/>
  <c r="F21" i="3"/>
  <c r="F46" i="9" s="1"/>
  <c r="F20" i="3"/>
  <c r="F10" i="9" s="1"/>
  <c r="F19" i="3"/>
  <c r="F12" i="9" s="1"/>
  <c r="F18" i="3"/>
  <c r="F140" i="9" s="1"/>
  <c r="F17" i="3"/>
  <c r="F35" i="9" s="1"/>
  <c r="F16" i="3"/>
  <c r="F141" i="9" s="1"/>
  <c r="F15" i="3"/>
  <c r="F74" i="9" s="1"/>
  <c r="F14" i="3"/>
  <c r="F32" i="9" s="1"/>
  <c r="N202" i="3"/>
  <c r="O202" i="3" s="1"/>
  <c r="F202" i="3"/>
  <c r="F48" i="9" s="1"/>
  <c r="F6" i="3"/>
  <c r="F22" i="9" s="1"/>
  <c r="F13" i="3"/>
  <c r="F90" i="9" s="1"/>
  <c r="F7" i="3"/>
  <c r="F60" i="9" s="1"/>
  <c r="F8" i="3"/>
  <c r="F8" i="9" s="1"/>
  <c r="F9" i="3"/>
  <c r="F120" i="9" s="1"/>
  <c r="F10" i="3"/>
  <c r="F68" i="9" s="1"/>
  <c r="F11" i="3"/>
  <c r="F105" i="9" s="1"/>
  <c r="F12" i="3"/>
  <c r="F153" i="9" s="1"/>
  <c r="F136" i="3"/>
  <c r="F19" i="9" s="1"/>
  <c r="F137" i="3"/>
  <c r="F97" i="9" s="1"/>
  <c r="F138" i="3"/>
  <c r="F110" i="9" s="1"/>
  <c r="F139" i="3"/>
  <c r="F38" i="9" s="1"/>
  <c r="F140" i="3"/>
  <c r="F92" i="9" s="1"/>
  <c r="F141" i="3"/>
  <c r="F72" i="9" s="1"/>
  <c r="F142" i="3"/>
  <c r="F113" i="9" s="1"/>
  <c r="F143" i="3"/>
  <c r="F82" i="9" s="1"/>
  <c r="F144" i="3"/>
  <c r="F145" i="3"/>
  <c r="F194" i="9" s="1"/>
  <c r="F146" i="3"/>
  <c r="F195" i="9" s="1"/>
  <c r="F147" i="3"/>
  <c r="F196" i="9" s="1"/>
  <c r="F148" i="3"/>
  <c r="F197" i="9" s="1"/>
  <c r="F149" i="3"/>
  <c r="F198" i="9" s="1"/>
  <c r="F150" i="3"/>
  <c r="F102" i="9" s="1"/>
  <c r="F151" i="3"/>
  <c r="F199" i="9" s="1"/>
  <c r="F152" i="3"/>
  <c r="F128" i="9" s="1"/>
  <c r="F153" i="3"/>
  <c r="F152" i="9" s="1"/>
  <c r="F154" i="3"/>
  <c r="F55" i="9" s="1"/>
  <c r="F155" i="3"/>
  <c r="F42" i="9" s="1"/>
  <c r="F156" i="3"/>
  <c r="F163" i="9" s="1"/>
  <c r="F157" i="3"/>
  <c r="F84" i="9" s="1"/>
  <c r="F158" i="3"/>
  <c r="F30" i="9" s="1"/>
  <c r="F159" i="3"/>
  <c r="F91" i="9" s="1"/>
  <c r="F160" i="3"/>
  <c r="F170" i="9" s="1"/>
  <c r="F161" i="3"/>
  <c r="F189" i="9" s="1"/>
  <c r="F162" i="3"/>
  <c r="F179" i="9" s="1"/>
  <c r="F163" i="3"/>
  <c r="F98" i="9" s="1"/>
  <c r="F164" i="3"/>
  <c r="F184" i="9" s="1"/>
  <c r="F165" i="3"/>
  <c r="F188" i="9" s="1"/>
  <c r="F169" i="3"/>
  <c r="F122" i="9" s="1"/>
  <c r="F170" i="3"/>
  <c r="F200" i="9" s="1"/>
  <c r="F171" i="3"/>
  <c r="F103" i="9" s="1"/>
  <c r="F172" i="3"/>
  <c r="F182" i="9" s="1"/>
  <c r="F173" i="3"/>
  <c r="F168" i="9" s="1"/>
  <c r="F174" i="3"/>
  <c r="F89" i="9" s="1"/>
  <c r="F175" i="3"/>
  <c r="F124" i="9" s="1"/>
  <c r="F176" i="3"/>
  <c r="F29" i="9" s="1"/>
  <c r="F177" i="3"/>
  <c r="F148" i="9" s="1"/>
  <c r="F178" i="3"/>
  <c r="F119" i="9" s="1"/>
  <c r="F179" i="3"/>
  <c r="F187" i="9" s="1"/>
  <c r="F180" i="3"/>
  <c r="F131" i="9" s="1"/>
  <c r="F181" i="3"/>
  <c r="F157" i="9" s="1"/>
  <c r="F182" i="3"/>
  <c r="F129" i="9" s="1"/>
  <c r="F183" i="3"/>
  <c r="F167" i="9" s="1"/>
  <c r="F184" i="3"/>
  <c r="F158" i="9" s="1"/>
  <c r="F185" i="3"/>
  <c r="F159" i="9" s="1"/>
  <c r="F186" i="3"/>
  <c r="F186" i="9" s="1"/>
  <c r="F187" i="3"/>
  <c r="F172" i="9" s="1"/>
  <c r="F188" i="3"/>
  <c r="F121" i="9" s="1"/>
  <c r="F189" i="3"/>
  <c r="F185" i="9" s="1"/>
  <c r="F190" i="3"/>
  <c r="F100" i="9" s="1"/>
  <c r="F191" i="3"/>
  <c r="F99" i="9" s="1"/>
  <c r="F192" i="3"/>
  <c r="F193" i="9" s="1"/>
  <c r="F193" i="3"/>
  <c r="F192" i="9" s="1"/>
  <c r="N127" i="3"/>
  <c r="O127" i="3" s="1"/>
  <c r="N121" i="3"/>
  <c r="O121" i="3" s="1"/>
  <c r="E136" i="2"/>
  <c r="G136" i="2" s="1"/>
  <c r="J136" i="2" s="1"/>
  <c r="E142" i="2"/>
  <c r="G142" i="2" s="1"/>
  <c r="J142" i="2" s="1"/>
  <c r="E204" i="2"/>
  <c r="G204" i="2" s="1"/>
  <c r="J204" i="2" s="1"/>
  <c r="J203" i="2" s="1"/>
  <c r="N112" i="3"/>
  <c r="O112" i="3" s="1"/>
  <c r="N54" i="3"/>
  <c r="O54" i="3" s="1"/>
  <c r="N113" i="3"/>
  <c r="O113" i="3" s="1"/>
  <c r="N65" i="3"/>
  <c r="O65" i="3" s="1"/>
  <c r="N105" i="3"/>
  <c r="O105" i="3" s="1"/>
  <c r="N59" i="3"/>
  <c r="O59" i="3" s="1"/>
  <c r="O87" i="3"/>
  <c r="N63" i="3"/>
  <c r="O63" i="3" s="1"/>
  <c r="N64" i="3"/>
  <c r="O64" i="3" s="1"/>
  <c r="N111" i="3"/>
  <c r="O111" i="3" s="1"/>
  <c r="N114" i="3"/>
  <c r="O114" i="3" s="1"/>
  <c r="N66" i="3"/>
  <c r="O66" i="3" s="1"/>
  <c r="N69" i="3"/>
  <c r="O69" i="3" s="1"/>
  <c r="N110" i="3"/>
  <c r="O110" i="3" s="1"/>
  <c r="N108" i="3"/>
  <c r="O108" i="3" s="1"/>
  <c r="N61" i="3"/>
  <c r="O61" i="3" s="1"/>
  <c r="N62" i="3"/>
  <c r="O62" i="3" s="1"/>
  <c r="N115" i="3"/>
  <c r="O115" i="3" s="1"/>
  <c r="N67" i="3"/>
  <c r="O67" i="3" s="1"/>
  <c r="N104" i="3"/>
  <c r="O104" i="3" s="1"/>
  <c r="N60" i="3"/>
  <c r="O60" i="3" s="1"/>
  <c r="N70" i="3"/>
  <c r="O70" i="3" s="1"/>
  <c r="N120" i="3"/>
  <c r="O120" i="3" s="1"/>
  <c r="N106" i="3"/>
  <c r="O106" i="3" s="1"/>
  <c r="N118" i="3"/>
  <c r="O118" i="3" s="1"/>
  <c r="N119" i="3"/>
  <c r="O119" i="3" s="1"/>
  <c r="N68" i="3"/>
  <c r="O68" i="3" s="1"/>
  <c r="N116" i="3"/>
  <c r="O116" i="3" s="1"/>
  <c r="N49" i="3"/>
  <c r="O49" i="3" s="1"/>
  <c r="E76" i="2"/>
  <c r="G76" i="2" s="1"/>
  <c r="J76" i="2" s="1"/>
  <c r="J75" i="2" s="1"/>
  <c r="E77" i="2"/>
  <c r="G77" i="2" s="1"/>
  <c r="E78" i="2"/>
  <c r="G78" i="2" s="1"/>
  <c r="N50" i="3"/>
  <c r="O50" i="3" s="1"/>
  <c r="N55" i="3"/>
  <c r="O55" i="3" s="1"/>
  <c r="N46" i="3"/>
  <c r="O46" i="3" s="1"/>
  <c r="N56" i="3"/>
  <c r="O56" i="3" s="1"/>
  <c r="N58" i="3"/>
  <c r="O58" i="3" s="1"/>
  <c r="N57" i="3"/>
  <c r="O57" i="3" s="1"/>
  <c r="N47" i="3"/>
  <c r="O47" i="3" s="1"/>
  <c r="G435" i="2"/>
  <c r="N107" i="3"/>
  <c r="O107" i="3" s="1"/>
  <c r="N48" i="3"/>
  <c r="O48" i="3" s="1"/>
  <c r="N53" i="3"/>
  <c r="O53" i="3" s="1"/>
  <c r="N117" i="3"/>
  <c r="O117" i="3" s="1"/>
  <c r="J199" i="3" l="1"/>
  <c r="I194" i="3"/>
  <c r="K353" i="2"/>
  <c r="L351" i="2"/>
  <c r="K357" i="2"/>
  <c r="I195" i="3"/>
  <c r="L350" i="2"/>
  <c r="K356" i="2"/>
  <c r="K352" i="2"/>
  <c r="L355" i="2"/>
  <c r="L357" i="2"/>
  <c r="L237" i="2"/>
  <c r="M237" i="2" s="1"/>
  <c r="L352" i="2"/>
  <c r="K351" i="2"/>
  <c r="K489" i="2"/>
  <c r="K486" i="2" s="1"/>
  <c r="K469" i="2"/>
  <c r="L356" i="2"/>
  <c r="L353" i="2"/>
  <c r="K468" i="2"/>
  <c r="M468" i="2" s="1"/>
  <c r="K355" i="2"/>
  <c r="K350" i="2"/>
  <c r="I168" i="3"/>
  <c r="J194" i="3"/>
  <c r="I133" i="3"/>
  <c r="J195" i="3"/>
  <c r="L238" i="2"/>
  <c r="K354" i="2"/>
  <c r="L358" i="2"/>
  <c r="L354" i="2"/>
  <c r="L349" i="2"/>
  <c r="I166" i="3"/>
  <c r="K349" i="2"/>
  <c r="I167" i="3"/>
  <c r="K238" i="2"/>
  <c r="J133" i="3"/>
  <c r="K358" i="2"/>
  <c r="I135" i="3"/>
  <c r="J135" i="3"/>
  <c r="J168" i="3"/>
  <c r="J166" i="3"/>
  <c r="J167" i="3"/>
  <c r="L13" i="2"/>
  <c r="L431" i="2"/>
  <c r="I145" i="3"/>
  <c r="J170" i="3"/>
  <c r="L285" i="2"/>
  <c r="L326" i="2"/>
  <c r="L231" i="2"/>
  <c r="L71" i="2"/>
  <c r="K327" i="2"/>
  <c r="K426" i="2"/>
  <c r="I146" i="3"/>
  <c r="L450" i="2"/>
  <c r="L286" i="2"/>
  <c r="L108" i="2"/>
  <c r="L232" i="2"/>
  <c r="L72" i="2"/>
  <c r="K328" i="2"/>
  <c r="J196" i="3"/>
  <c r="L426" i="2"/>
  <c r="I147" i="3"/>
  <c r="L413" i="2"/>
  <c r="L287" i="2"/>
  <c r="L132" i="2"/>
  <c r="L233" i="2"/>
  <c r="K457" i="2"/>
  <c r="I200" i="3"/>
  <c r="I148" i="3"/>
  <c r="L423" i="2"/>
  <c r="L288" i="2"/>
  <c r="L228" i="2"/>
  <c r="L65" i="2"/>
  <c r="K371" i="2"/>
  <c r="K215" i="2"/>
  <c r="J200" i="3"/>
  <c r="K200" i="3" s="1"/>
  <c r="J197" i="3"/>
  <c r="J198" i="3"/>
  <c r="I149" i="3"/>
  <c r="L371" i="2"/>
  <c r="L289" i="2"/>
  <c r="L229" i="2"/>
  <c r="L66" i="2"/>
  <c r="K306" i="2"/>
  <c r="K216" i="2"/>
  <c r="J202" i="3"/>
  <c r="K284" i="2"/>
  <c r="L430" i="2"/>
  <c r="J144" i="3"/>
  <c r="K144" i="3" s="1"/>
  <c r="I170" i="3"/>
  <c r="L284" i="2"/>
  <c r="L294" i="2"/>
  <c r="L230" i="2"/>
  <c r="L70" i="2"/>
  <c r="K307" i="2"/>
  <c r="J172" i="3"/>
  <c r="I151" i="3"/>
  <c r="L483" i="2"/>
  <c r="L475" i="2"/>
  <c r="L449" i="2"/>
  <c r="L419" i="2"/>
  <c r="K404" i="2"/>
  <c r="K398" i="2"/>
  <c r="L406" i="2"/>
  <c r="L375" i="2"/>
  <c r="L340" i="2"/>
  <c r="L332" i="2"/>
  <c r="L324" i="2"/>
  <c r="L316" i="2"/>
  <c r="L307" i="2"/>
  <c r="K295" i="2"/>
  <c r="L276" i="2"/>
  <c r="L268" i="2"/>
  <c r="L260" i="2"/>
  <c r="K229" i="2"/>
  <c r="K218" i="2"/>
  <c r="K208" i="2"/>
  <c r="K182" i="2"/>
  <c r="L166" i="2"/>
  <c r="K127" i="2"/>
  <c r="K120" i="2"/>
  <c r="L114" i="2"/>
  <c r="K83" i="2"/>
  <c r="L74" i="2"/>
  <c r="L59" i="2"/>
  <c r="L49" i="2"/>
  <c r="K39" i="2"/>
  <c r="K32" i="2"/>
  <c r="K19" i="2"/>
  <c r="K136" i="2"/>
  <c r="K75" i="2"/>
  <c r="L482" i="2"/>
  <c r="K446" i="2"/>
  <c r="K437" i="2"/>
  <c r="L429" i="2"/>
  <c r="L425" i="2"/>
  <c r="K413" i="2"/>
  <c r="K403" i="2"/>
  <c r="K397" i="2"/>
  <c r="K380" i="2"/>
  <c r="L331" i="2"/>
  <c r="L323" i="2"/>
  <c r="L306" i="2"/>
  <c r="L298" i="2"/>
  <c r="K270" i="2"/>
  <c r="K262" i="2"/>
  <c r="L221" i="2"/>
  <c r="L212" i="2"/>
  <c r="K188" i="2"/>
  <c r="K150" i="2"/>
  <c r="K126" i="2"/>
  <c r="L124" i="2"/>
  <c r="I111" i="2"/>
  <c r="L102" i="2"/>
  <c r="L94" i="2"/>
  <c r="L85" i="2"/>
  <c r="L63" i="2"/>
  <c r="K31" i="2"/>
  <c r="K24" i="2"/>
  <c r="K142" i="2"/>
  <c r="L481" i="2"/>
  <c r="L455" i="2"/>
  <c r="L424" i="2"/>
  <c r="K412" i="2"/>
  <c r="K402" i="2"/>
  <c r="K396" i="2"/>
  <c r="L391" i="2"/>
  <c r="K325" i="2"/>
  <c r="L312" i="2"/>
  <c r="K301" i="2"/>
  <c r="L297" i="2"/>
  <c r="L283" i="2"/>
  <c r="L273" i="2"/>
  <c r="L257" i="2"/>
  <c r="K187" i="2"/>
  <c r="K157" i="2"/>
  <c r="L130" i="2"/>
  <c r="L123" i="2"/>
  <c r="K66" i="2"/>
  <c r="K50" i="2"/>
  <c r="L45" i="2"/>
  <c r="K30" i="2"/>
  <c r="K23" i="2"/>
  <c r="I182" i="3"/>
  <c r="L495" i="2"/>
  <c r="L479" i="2"/>
  <c r="K453" i="2"/>
  <c r="K443" i="2"/>
  <c r="K434" i="2"/>
  <c r="K418" i="2"/>
  <c r="L415" i="2"/>
  <c r="K401" i="2"/>
  <c r="K395" i="2"/>
  <c r="L390" i="2"/>
  <c r="L379" i="2"/>
  <c r="L370" i="2"/>
  <c r="L344" i="2"/>
  <c r="L336" i="2"/>
  <c r="L328" i="2"/>
  <c r="L320" i="2"/>
  <c r="L311" i="2"/>
  <c r="K300" i="2"/>
  <c r="L282" i="2"/>
  <c r="L264" i="2"/>
  <c r="L256" i="2"/>
  <c r="K232" i="2"/>
  <c r="L215" i="2"/>
  <c r="L206" i="2"/>
  <c r="K186" i="2"/>
  <c r="L184" i="2"/>
  <c r="K164" i="2"/>
  <c r="K155" i="2"/>
  <c r="L129" i="2"/>
  <c r="L118" i="2"/>
  <c r="K95" i="2"/>
  <c r="K88" i="2"/>
  <c r="K72" i="2"/>
  <c r="K57" i="2"/>
  <c r="L53" i="2"/>
  <c r="K42" i="2"/>
  <c r="K29" i="2"/>
  <c r="K22" i="2"/>
  <c r="I180" i="3"/>
  <c r="L478" i="2"/>
  <c r="L461" i="2"/>
  <c r="I190" i="3"/>
  <c r="I187" i="3"/>
  <c r="K417" i="2"/>
  <c r="K400" i="2"/>
  <c r="L378" i="2"/>
  <c r="L369" i="2"/>
  <c r="L335" i="2"/>
  <c r="L327" i="2"/>
  <c r="L319" i="2"/>
  <c r="L310" i="2"/>
  <c r="L303" i="2"/>
  <c r="K231" i="2"/>
  <c r="K223" i="2"/>
  <c r="K210" i="2"/>
  <c r="L190" i="2"/>
  <c r="K154" i="2"/>
  <c r="L133" i="2"/>
  <c r="K122" i="2"/>
  <c r="L117" i="2"/>
  <c r="L106" i="2"/>
  <c r="L98" i="2"/>
  <c r="L90" i="2"/>
  <c r="K71" i="2"/>
  <c r="L68" i="2"/>
  <c r="K56" i="2"/>
  <c r="K41" i="2"/>
  <c r="K34" i="2"/>
  <c r="K28" i="2"/>
  <c r="J173" i="3"/>
  <c r="L491" i="2"/>
  <c r="K440" i="2"/>
  <c r="K423" i="2"/>
  <c r="K405" i="2"/>
  <c r="K399" i="2"/>
  <c r="K393" i="2"/>
  <c r="L387" i="2"/>
  <c r="K313" i="2"/>
  <c r="L292" i="2"/>
  <c r="L277" i="2"/>
  <c r="L261" i="2"/>
  <c r="L253" i="2"/>
  <c r="K230" i="2"/>
  <c r="K219" i="2"/>
  <c r="K209" i="2"/>
  <c r="K198" i="2"/>
  <c r="L189" i="2"/>
  <c r="L159" i="2"/>
  <c r="K128" i="2"/>
  <c r="K121" i="2"/>
  <c r="L97" i="2"/>
  <c r="K40" i="2"/>
  <c r="L36" i="2"/>
  <c r="K20" i="2"/>
  <c r="J134" i="3"/>
  <c r="K134" i="3" s="1"/>
  <c r="G394" i="2"/>
  <c r="J394" i="2" s="1"/>
  <c r="K394" i="2" s="1"/>
  <c r="G487" i="2"/>
  <c r="I487" i="2" s="1"/>
  <c r="L487" i="2" s="1"/>
  <c r="G180" i="2"/>
  <c r="J180" i="2" s="1"/>
  <c r="G175" i="2"/>
  <c r="J175" i="2" s="1"/>
  <c r="K175" i="2" s="1"/>
  <c r="G170" i="2"/>
  <c r="J170" i="2" s="1"/>
  <c r="K170" i="2" s="1"/>
  <c r="G171" i="2"/>
  <c r="I171" i="2" s="1"/>
  <c r="G144" i="2"/>
  <c r="J144" i="2" s="1"/>
  <c r="K144" i="2" s="1"/>
  <c r="G145" i="2"/>
  <c r="I145" i="2" s="1"/>
  <c r="G140" i="2"/>
  <c r="I140" i="2" s="1"/>
  <c r="L140" i="2" s="1"/>
  <c r="I46" i="2"/>
  <c r="H7" i="3" s="1"/>
  <c r="I7" i="3" s="1"/>
  <c r="G177" i="2"/>
  <c r="I177" i="2" s="1"/>
  <c r="G146" i="2"/>
  <c r="I146" i="2" s="1"/>
  <c r="L146" i="2" s="1"/>
  <c r="J61" i="2"/>
  <c r="K61" i="2" s="1"/>
  <c r="L14" i="2"/>
  <c r="I12" i="2"/>
  <c r="L488" i="2"/>
  <c r="L473" i="2"/>
  <c r="I472" i="2"/>
  <c r="I458" i="2"/>
  <c r="H192" i="3" s="1"/>
  <c r="L460" i="2"/>
  <c r="G174" i="2"/>
  <c r="J174" i="2" s="1"/>
  <c r="G169" i="2"/>
  <c r="J169" i="2" s="1"/>
  <c r="K169" i="2" s="1"/>
  <c r="G143" i="2"/>
  <c r="J143" i="2" s="1"/>
  <c r="G138" i="2"/>
  <c r="J138" i="2" s="1"/>
  <c r="G139" i="2"/>
  <c r="I139" i="2" s="1"/>
  <c r="L89" i="2"/>
  <c r="I86" i="2"/>
  <c r="G176" i="2"/>
  <c r="J176" i="2" s="1"/>
  <c r="K176" i="2" s="1"/>
  <c r="G172" i="2"/>
  <c r="I172" i="2" s="1"/>
  <c r="L172" i="2" s="1"/>
  <c r="G161" i="2"/>
  <c r="J161" i="2" s="1"/>
  <c r="K161" i="2" s="1"/>
  <c r="G252" i="2"/>
  <c r="I252" i="2" s="1"/>
  <c r="I250" i="2" s="1"/>
  <c r="H136" i="3" s="1"/>
  <c r="I136" i="3" s="1"/>
  <c r="G220" i="2"/>
  <c r="I220" i="2" s="1"/>
  <c r="G178" i="2"/>
  <c r="I178" i="2" s="1"/>
  <c r="L178" i="2" s="1"/>
  <c r="G168" i="2"/>
  <c r="J168" i="2" s="1"/>
  <c r="G137" i="2"/>
  <c r="J137" i="2" s="1"/>
  <c r="K137" i="2" s="1"/>
  <c r="L84" i="2"/>
  <c r="I81" i="2"/>
  <c r="L165" i="2"/>
  <c r="I160" i="2"/>
  <c r="L160" i="2" s="1"/>
  <c r="I27" i="2"/>
  <c r="H15" i="3" s="1"/>
  <c r="I15" i="3" s="1"/>
  <c r="K181" i="2"/>
  <c r="L101" i="2"/>
  <c r="I99" i="2"/>
  <c r="L99" i="2" s="1"/>
  <c r="J64" i="2"/>
  <c r="K64" i="2" s="1"/>
  <c r="K18" i="2"/>
  <c r="L183" i="2"/>
  <c r="I179" i="2"/>
  <c r="L179" i="2" s="1"/>
  <c r="K162" i="2"/>
  <c r="L109" i="2"/>
  <c r="I91" i="2"/>
  <c r="H17" i="3" s="1"/>
  <c r="H75" i="3" s="1"/>
  <c r="I75" i="3" s="1"/>
  <c r="I67" i="2"/>
  <c r="I64" i="2" s="1"/>
  <c r="L64" i="2" s="1"/>
  <c r="K38" i="2"/>
  <c r="G26" i="2"/>
  <c r="I26" i="2" s="1"/>
  <c r="I16" i="2" s="1"/>
  <c r="E202" i="2"/>
  <c r="G202" i="2" s="1"/>
  <c r="I202" i="2" s="1"/>
  <c r="L202" i="2" s="1"/>
  <c r="E152" i="2"/>
  <c r="G152" i="2" s="1"/>
  <c r="I152" i="2" s="1"/>
  <c r="L152" i="2" s="1"/>
  <c r="I69" i="2"/>
  <c r="H12" i="3" s="1"/>
  <c r="I12" i="3" s="1"/>
  <c r="I203" i="2"/>
  <c r="L203" i="2" s="1"/>
  <c r="E199" i="2"/>
  <c r="G199" i="2" s="1"/>
  <c r="J199" i="2" s="1"/>
  <c r="K199" i="2" s="1"/>
  <c r="E193" i="2"/>
  <c r="G193" i="2" s="1"/>
  <c r="J193" i="2" s="1"/>
  <c r="K193" i="2" s="1"/>
  <c r="K233" i="2"/>
  <c r="L436" i="2"/>
  <c r="J87" i="2"/>
  <c r="K21" i="2"/>
  <c r="K377" i="2"/>
  <c r="I383" i="2"/>
  <c r="L383" i="2" s="1"/>
  <c r="J341" i="2"/>
  <c r="K341" i="2" s="1"/>
  <c r="L343" i="2"/>
  <c r="I341" i="2"/>
  <c r="I348" i="2"/>
  <c r="L348" i="2" s="1"/>
  <c r="E200" i="2"/>
  <c r="G200" i="2" s="1"/>
  <c r="J200" i="2" s="1"/>
  <c r="K200" i="2" s="1"/>
  <c r="E201" i="2"/>
  <c r="G201" i="2" s="1"/>
  <c r="I201" i="2" s="1"/>
  <c r="L201" i="2" s="1"/>
  <c r="E192" i="2"/>
  <c r="G192" i="2" s="1"/>
  <c r="J192" i="2" s="1"/>
  <c r="K192" i="2" s="1"/>
  <c r="E148" i="2"/>
  <c r="G148" i="2" s="1"/>
  <c r="J148" i="2" s="1"/>
  <c r="K148" i="2" s="1"/>
  <c r="E132" i="2"/>
  <c r="G132" i="2" s="1"/>
  <c r="J132" i="2" s="1"/>
  <c r="K132" i="2" s="1"/>
  <c r="E108" i="2"/>
  <c r="G108" i="2" s="1"/>
  <c r="J108" i="2" s="1"/>
  <c r="J107" i="2" s="1"/>
  <c r="G21" i="3" s="1"/>
  <c r="I347" i="2"/>
  <c r="K228" i="2"/>
  <c r="E214" i="2"/>
  <c r="E216" i="2" s="1"/>
  <c r="G216" i="2" s="1"/>
  <c r="I216" i="2" s="1"/>
  <c r="L216" i="2" s="1"/>
  <c r="E196" i="2"/>
  <c r="G196" i="2" s="1"/>
  <c r="I196" i="2" s="1"/>
  <c r="L196" i="2" s="1"/>
  <c r="E134" i="2"/>
  <c r="G134" i="2" s="1"/>
  <c r="I134" i="2" s="1"/>
  <c r="L134" i="2" s="1"/>
  <c r="E110" i="2"/>
  <c r="G110" i="2" s="1"/>
  <c r="I110" i="2" s="1"/>
  <c r="L110" i="2" s="1"/>
  <c r="K116" i="2"/>
  <c r="J115" i="2"/>
  <c r="K115" i="2" s="1"/>
  <c r="E194" i="2"/>
  <c r="G194" i="2" s="1"/>
  <c r="J194" i="2" s="1"/>
  <c r="K194" i="2" s="1"/>
  <c r="L58" i="2"/>
  <c r="I54" i="2"/>
  <c r="K376" i="2"/>
  <c r="P17" i="3"/>
  <c r="P18" i="3" s="1"/>
  <c r="P19" i="3" s="1"/>
  <c r="P20" i="3" s="1"/>
  <c r="P21" i="3" s="1"/>
  <c r="P22" i="3" s="1"/>
  <c r="P7" i="3"/>
  <c r="P8" i="3" s="1"/>
  <c r="G8" i="3"/>
  <c r="J8" i="3" s="1"/>
  <c r="K46" i="2"/>
  <c r="G7" i="3"/>
  <c r="J7" i="3" s="1"/>
  <c r="K47" i="2"/>
  <c r="K104" i="2"/>
  <c r="K51" i="2"/>
  <c r="K438" i="2"/>
  <c r="K96" i="2"/>
  <c r="K447" i="2"/>
  <c r="G188" i="3"/>
  <c r="J188" i="3" s="1"/>
  <c r="G18" i="3"/>
  <c r="G47" i="3" s="1"/>
  <c r="J47" i="3" s="1"/>
  <c r="K444" i="2"/>
  <c r="G187" i="3"/>
  <c r="J187" i="3" s="1"/>
  <c r="L23" i="3"/>
  <c r="N23" i="3" s="1"/>
  <c r="O23" i="3" s="1"/>
  <c r="K112" i="2"/>
  <c r="G185" i="3"/>
  <c r="J185" i="3" s="1"/>
  <c r="J259" i="2"/>
  <c r="G138" i="3" s="1"/>
  <c r="J138" i="3" s="1"/>
  <c r="E156" i="2"/>
  <c r="G156" i="2" s="1"/>
  <c r="J156" i="2" s="1"/>
  <c r="K156" i="2" s="1"/>
  <c r="H189" i="3"/>
  <c r="I189" i="3" s="1"/>
  <c r="G19" i="3"/>
  <c r="G48" i="3" s="1"/>
  <c r="J48" i="3" s="1"/>
  <c r="K100" i="2"/>
  <c r="J459" i="2"/>
  <c r="K76" i="2"/>
  <c r="K441" i="2"/>
  <c r="G13" i="3"/>
  <c r="J13" i="3" s="1"/>
  <c r="I153" i="2"/>
  <c r="L153" i="2" s="1"/>
  <c r="L158" i="2"/>
  <c r="L265" i="2"/>
  <c r="I262" i="2"/>
  <c r="H139" i="3" s="1"/>
  <c r="I139" i="3" s="1"/>
  <c r="K342" i="2"/>
  <c r="G186" i="3"/>
  <c r="J186" i="3" s="1"/>
  <c r="G157" i="3"/>
  <c r="J157" i="3" s="1"/>
  <c r="J334" i="2"/>
  <c r="K334" i="2" s="1"/>
  <c r="K435" i="2"/>
  <c r="H156" i="3"/>
  <c r="I156" i="3" s="1"/>
  <c r="J462" i="2"/>
  <c r="K462" i="2" s="1"/>
  <c r="I37" i="2"/>
  <c r="I440" i="2"/>
  <c r="L440" i="2" s="1"/>
  <c r="L442" i="2"/>
  <c r="I420" i="2"/>
  <c r="L420" i="2" s="1"/>
  <c r="L179" i="3"/>
  <c r="N179" i="3" s="1"/>
  <c r="O179" i="3" s="1"/>
  <c r="L178" i="3"/>
  <c r="N178" i="3" s="1"/>
  <c r="O178" i="3" s="1"/>
  <c r="I372" i="2"/>
  <c r="H171" i="3" s="1"/>
  <c r="I171" i="3" s="1"/>
  <c r="L374" i="2"/>
  <c r="I60" i="2"/>
  <c r="L60" i="2" s="1"/>
  <c r="L62" i="2"/>
  <c r="K204" i="2"/>
  <c r="L44" i="2"/>
  <c r="L35" i="2"/>
  <c r="G180" i="3"/>
  <c r="J180" i="3" s="1"/>
  <c r="I384" i="2"/>
  <c r="L384" i="2" s="1"/>
  <c r="J330" i="2"/>
  <c r="G161" i="3" s="1"/>
  <c r="J161" i="3" s="1"/>
  <c r="I51" i="2"/>
  <c r="J338" i="2"/>
  <c r="G412" i="2"/>
  <c r="H191" i="3"/>
  <c r="I191" i="3" s="1"/>
  <c r="J411" i="2"/>
  <c r="G177" i="3" s="1"/>
  <c r="J177" i="3" s="1"/>
  <c r="J312" i="2"/>
  <c r="K312" i="2" s="1"/>
  <c r="J291" i="2"/>
  <c r="K291" i="2" s="1"/>
  <c r="M284" i="2"/>
  <c r="J251" i="2"/>
  <c r="I235" i="2"/>
  <c r="L235" i="2" s="1"/>
  <c r="K346" i="2"/>
  <c r="J431" i="2"/>
  <c r="G183" i="3" s="1"/>
  <c r="J183" i="3" s="1"/>
  <c r="I115" i="2"/>
  <c r="L115" i="2" s="1"/>
  <c r="J43" i="2"/>
  <c r="K43" i="2" s="1"/>
  <c r="J33" i="2"/>
  <c r="K33" i="2" s="1"/>
  <c r="J91" i="2"/>
  <c r="K92" i="2"/>
  <c r="L111" i="2"/>
  <c r="L113" i="2"/>
  <c r="L9" i="3"/>
  <c r="N9" i="3" s="1"/>
  <c r="O9" i="3" s="1"/>
  <c r="K326" i="2"/>
  <c r="K314" i="2"/>
  <c r="K294" i="2"/>
  <c r="L93" i="2"/>
  <c r="L386" i="2"/>
  <c r="J428" i="2"/>
  <c r="K428" i="2" s="1"/>
  <c r="I428" i="2"/>
  <c r="L428" i="2" s="1"/>
  <c r="I411" i="2"/>
  <c r="L411" i="2" s="1"/>
  <c r="J267" i="2"/>
  <c r="K267" i="2" s="1"/>
  <c r="K236" i="2"/>
  <c r="M236" i="2" s="1"/>
  <c r="I226" i="2"/>
  <c r="L226" i="2" s="1"/>
  <c r="I225" i="2"/>
  <c r="J69" i="2"/>
  <c r="L73" i="2"/>
  <c r="J54" i="2"/>
  <c r="G9" i="3" s="1"/>
  <c r="J9" i="3" s="1"/>
  <c r="I493" i="2"/>
  <c r="H202" i="3" s="1"/>
  <c r="L494" i="2"/>
  <c r="I407" i="2"/>
  <c r="K345" i="2"/>
  <c r="G165" i="3"/>
  <c r="J165" i="3" s="1"/>
  <c r="I337" i="2"/>
  <c r="L337" i="2" s="1"/>
  <c r="L339" i="2"/>
  <c r="L48" i="2"/>
  <c r="L177" i="3"/>
  <c r="N177" i="3" s="1"/>
  <c r="O177" i="3" s="1"/>
  <c r="K296" i="2"/>
  <c r="L463" i="2"/>
  <c r="L448" i="2"/>
  <c r="I333" i="2"/>
  <c r="L333" i="2" s="1"/>
  <c r="J318" i="2"/>
  <c r="K318" i="2" s="1"/>
  <c r="J281" i="2"/>
  <c r="K281" i="2" s="1"/>
  <c r="J275" i="2"/>
  <c r="I270" i="2"/>
  <c r="L270" i="2" s="1"/>
  <c r="L272" i="2"/>
  <c r="L25" i="2"/>
  <c r="K70" i="2"/>
  <c r="K65" i="2"/>
  <c r="K55" i="2"/>
  <c r="K271" i="2"/>
  <c r="L52" i="2"/>
  <c r="L451" i="2"/>
  <c r="L445" i="2"/>
  <c r="L439" i="2"/>
  <c r="L457" i="2"/>
  <c r="G184" i="3"/>
  <c r="J184" i="3" s="1"/>
  <c r="G152" i="3"/>
  <c r="J152" i="3" s="1"/>
  <c r="G141" i="3"/>
  <c r="J141" i="3" s="1"/>
  <c r="L434" i="2"/>
  <c r="M434" i="2" s="1"/>
  <c r="H184" i="3"/>
  <c r="I184" i="3" s="1"/>
  <c r="J416" i="2"/>
  <c r="G178" i="3" s="1"/>
  <c r="I408" i="2"/>
  <c r="L408" i="2" s="1"/>
  <c r="G139" i="3"/>
  <c r="J139" i="3" s="1"/>
  <c r="K263" i="2"/>
  <c r="I254" i="2"/>
  <c r="L254" i="2" s="1"/>
  <c r="I207" i="2"/>
  <c r="H39" i="3" s="1"/>
  <c r="L211" i="2"/>
  <c r="G155" i="3"/>
  <c r="I295" i="2"/>
  <c r="H152" i="3" s="1"/>
  <c r="I152" i="3" s="1"/>
  <c r="J119" i="2"/>
  <c r="G24" i="3" s="1"/>
  <c r="I480" i="2"/>
  <c r="I367" i="2"/>
  <c r="I258" i="2"/>
  <c r="L258" i="2" s="1"/>
  <c r="I103" i="2"/>
  <c r="H20" i="3" s="1"/>
  <c r="J82" i="2"/>
  <c r="K82" i="2" s="1"/>
  <c r="I329" i="2"/>
  <c r="L329" i="2" s="1"/>
  <c r="I313" i="2"/>
  <c r="H157" i="3" s="1"/>
  <c r="I299" i="2"/>
  <c r="L299" i="2" s="1"/>
  <c r="I274" i="2"/>
  <c r="H142" i="3" s="1"/>
  <c r="J125" i="2"/>
  <c r="G25" i="3" s="1"/>
  <c r="H193" i="3"/>
  <c r="L452" i="2"/>
  <c r="L437" i="2"/>
  <c r="M437" i="2" s="1"/>
  <c r="H185" i="3"/>
  <c r="J321" i="2"/>
  <c r="K321" i="2" s="1"/>
  <c r="G159" i="3"/>
  <c r="K322" i="2"/>
  <c r="L105" i="2"/>
  <c r="L474" i="2"/>
  <c r="J452" i="2"/>
  <c r="K452" i="2" s="1"/>
  <c r="G190" i="3"/>
  <c r="L446" i="2"/>
  <c r="H188" i="3"/>
  <c r="I188" i="3" s="1"/>
  <c r="J151" i="3"/>
  <c r="I476" i="2"/>
  <c r="L477" i="2"/>
  <c r="J421" i="2"/>
  <c r="I290" i="2"/>
  <c r="L293" i="2"/>
  <c r="K381" i="2"/>
  <c r="K422" i="2"/>
  <c r="L205" i="2"/>
  <c r="L195" i="2"/>
  <c r="L315" i="2"/>
  <c r="L302" i="2"/>
  <c r="L414" i="2"/>
  <c r="L454" i="2"/>
  <c r="G160" i="3"/>
  <c r="J456" i="2"/>
  <c r="L443" i="2"/>
  <c r="M443" i="2" s="1"/>
  <c r="L382" i="2"/>
  <c r="I321" i="2"/>
  <c r="I266" i="2"/>
  <c r="L269" i="2"/>
  <c r="I77" i="2"/>
  <c r="I78" i="2"/>
  <c r="L78" i="2" s="1"/>
  <c r="J450" i="2"/>
  <c r="J430" i="2"/>
  <c r="I388" i="2"/>
  <c r="I376" i="2"/>
  <c r="J368" i="2"/>
  <c r="I317" i="2"/>
  <c r="I304" i="2"/>
  <c r="I280" i="2"/>
  <c r="I234" i="2"/>
  <c r="G20" i="3"/>
  <c r="K103" i="2"/>
  <c r="M491" i="2"/>
  <c r="I421" i="2"/>
  <c r="J385" i="2"/>
  <c r="J373" i="2"/>
  <c r="I308" i="2"/>
  <c r="J299" i="2"/>
  <c r="G38" i="3"/>
  <c r="G96" i="3" s="1"/>
  <c r="J96" i="3" s="1"/>
  <c r="K203" i="2"/>
  <c r="I185" i="2"/>
  <c r="I125" i="2"/>
  <c r="J389" i="2"/>
  <c r="I325" i="2"/>
  <c r="J305" i="2"/>
  <c r="J255" i="2"/>
  <c r="J217" i="2"/>
  <c r="J185" i="2"/>
  <c r="J207" i="2"/>
  <c r="G22" i="3"/>
  <c r="K111" i="2"/>
  <c r="I119" i="2"/>
  <c r="J17" i="2"/>
  <c r="J16" i="2" s="1"/>
  <c r="E163" i="2"/>
  <c r="G163" i="2" s="1"/>
  <c r="J163" i="2" s="1"/>
  <c r="K163" i="2" s="1"/>
  <c r="I95" i="2"/>
  <c r="I183" i="3"/>
  <c r="L493" i="2" l="1"/>
  <c r="M493" i="2" s="1"/>
  <c r="M426" i="2"/>
  <c r="M446" i="2"/>
  <c r="K194" i="3"/>
  <c r="K101" i="9" s="1"/>
  <c r="M358" i="2"/>
  <c r="M270" i="2"/>
  <c r="M238" i="2"/>
  <c r="K168" i="3"/>
  <c r="K174" i="9" s="1"/>
  <c r="K167" i="3"/>
  <c r="K154" i="9" s="1"/>
  <c r="K166" i="3"/>
  <c r="AP166" i="3" s="1"/>
  <c r="K135" i="3"/>
  <c r="K58" i="9" s="1"/>
  <c r="AI134" i="3"/>
  <c r="K5" i="9"/>
  <c r="AL149" i="3"/>
  <c r="K7" i="9"/>
  <c r="M469" i="2"/>
  <c r="M470" i="2" s="1"/>
  <c r="K470" i="2"/>
  <c r="M354" i="2"/>
  <c r="K151" i="3"/>
  <c r="M312" i="2"/>
  <c r="CU200" i="3"/>
  <c r="R21" i="7" s="1"/>
  <c r="T21" i="7" s="1"/>
  <c r="K107" i="9"/>
  <c r="M349" i="2"/>
  <c r="K195" i="3"/>
  <c r="I213" i="2"/>
  <c r="L213" i="2" s="1"/>
  <c r="I486" i="2"/>
  <c r="L486" i="2" s="1"/>
  <c r="M486" i="2" s="1"/>
  <c r="H11" i="3"/>
  <c r="I11" i="3" s="1"/>
  <c r="J60" i="2"/>
  <c r="K60" i="2" s="1"/>
  <c r="M60" i="2" s="1"/>
  <c r="L458" i="2"/>
  <c r="L464" i="2" s="1"/>
  <c r="M64" i="2"/>
  <c r="K107" i="2"/>
  <c r="G23" i="3"/>
  <c r="G110" i="3" s="1"/>
  <c r="J110" i="3" s="1"/>
  <c r="K138" i="2"/>
  <c r="J135" i="2"/>
  <c r="G27" i="3" s="1"/>
  <c r="G85" i="3" s="1"/>
  <c r="I191" i="2"/>
  <c r="H36" i="3" s="1"/>
  <c r="H65" i="3" s="1"/>
  <c r="I65" i="3" s="1"/>
  <c r="K168" i="2"/>
  <c r="J167" i="2"/>
  <c r="K167" i="2" s="1"/>
  <c r="K174" i="2"/>
  <c r="J173" i="2"/>
  <c r="K173" i="2" s="1"/>
  <c r="L145" i="2"/>
  <c r="I141" i="2"/>
  <c r="H28" i="3" s="1"/>
  <c r="L139" i="2"/>
  <c r="I135" i="2"/>
  <c r="L135" i="2" s="1"/>
  <c r="L171" i="2"/>
  <c r="I167" i="2"/>
  <c r="L167" i="2" s="1"/>
  <c r="L220" i="2"/>
  <c r="I217" i="2"/>
  <c r="H41" i="3" s="1"/>
  <c r="I41" i="3" s="1"/>
  <c r="K143" i="2"/>
  <c r="J141" i="2"/>
  <c r="G28" i="3" s="1"/>
  <c r="G115" i="3" s="1"/>
  <c r="K180" i="2"/>
  <c r="J179" i="2"/>
  <c r="K179" i="2" s="1"/>
  <c r="L177" i="2"/>
  <c r="I173" i="2"/>
  <c r="L173" i="2" s="1"/>
  <c r="E151" i="2"/>
  <c r="G151" i="2" s="1"/>
  <c r="I151" i="2" s="1"/>
  <c r="I147" i="2" s="1"/>
  <c r="K87" i="2"/>
  <c r="J86" i="2"/>
  <c r="K86" i="2" s="1"/>
  <c r="G164" i="3"/>
  <c r="J164" i="3" s="1"/>
  <c r="L252" i="2"/>
  <c r="I107" i="2"/>
  <c r="H21" i="3" s="1"/>
  <c r="H34" i="3"/>
  <c r="H121" i="3" s="1"/>
  <c r="I121" i="3" s="1"/>
  <c r="L67" i="2"/>
  <c r="I197" i="2"/>
  <c r="L197" i="2" s="1"/>
  <c r="K108" i="2"/>
  <c r="J160" i="2"/>
  <c r="K160" i="2" s="1"/>
  <c r="M160" i="2" s="1"/>
  <c r="H16" i="3"/>
  <c r="I16" i="3" s="1"/>
  <c r="L37" i="2"/>
  <c r="I345" i="2"/>
  <c r="I365" i="2" s="1"/>
  <c r="J37" i="2"/>
  <c r="K37" i="2" s="1"/>
  <c r="J27" i="2"/>
  <c r="K27" i="2" s="1"/>
  <c r="L27" i="2"/>
  <c r="L26" i="2"/>
  <c r="L16" i="2"/>
  <c r="J191" i="2"/>
  <c r="G36" i="3" s="1"/>
  <c r="K16" i="2"/>
  <c r="E149" i="2"/>
  <c r="G149" i="2" s="1"/>
  <c r="J149" i="2" s="1"/>
  <c r="K149" i="2" s="1"/>
  <c r="K259" i="2"/>
  <c r="I131" i="2"/>
  <c r="L131" i="2" s="1"/>
  <c r="J227" i="2"/>
  <c r="I380" i="2"/>
  <c r="G214" i="2"/>
  <c r="J214" i="2" s="1"/>
  <c r="K214" i="2" s="1"/>
  <c r="J197" i="2"/>
  <c r="G37" i="3" s="1"/>
  <c r="K431" i="2"/>
  <c r="M431" i="2" s="1"/>
  <c r="L347" i="2"/>
  <c r="K338" i="2"/>
  <c r="J337" i="2"/>
  <c r="K337" i="2" s="1"/>
  <c r="P23" i="3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96" i="3" s="1"/>
  <c r="P200" i="3" s="1"/>
  <c r="P9" i="3"/>
  <c r="P10" i="3" s="1"/>
  <c r="P11" i="3" s="1"/>
  <c r="P12" i="3" s="1"/>
  <c r="P13" i="3" s="1"/>
  <c r="P14" i="3" s="1"/>
  <c r="P15" i="3" s="1"/>
  <c r="P16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P157" i="3" s="1"/>
  <c r="P158" i="3" s="1"/>
  <c r="P159" i="3" s="1"/>
  <c r="P160" i="3" s="1"/>
  <c r="P161" i="3" s="1"/>
  <c r="P162" i="3" s="1"/>
  <c r="P163" i="3" s="1"/>
  <c r="P164" i="3" s="1"/>
  <c r="P165" i="3" s="1"/>
  <c r="G150" i="3"/>
  <c r="J150" i="3" s="1"/>
  <c r="H186" i="3"/>
  <c r="I186" i="3" s="1"/>
  <c r="J427" i="2"/>
  <c r="K427" i="2" s="1"/>
  <c r="K180" i="3"/>
  <c r="K131" i="9" s="1"/>
  <c r="K411" i="2"/>
  <c r="M411" i="2" s="1"/>
  <c r="L91" i="2"/>
  <c r="H104" i="3"/>
  <c r="I104" i="3" s="1"/>
  <c r="I464" i="2"/>
  <c r="J131" i="2"/>
  <c r="G26" i="3" s="1"/>
  <c r="J26" i="3" s="1"/>
  <c r="J18" i="3"/>
  <c r="M440" i="2"/>
  <c r="J461" i="2"/>
  <c r="K461" i="2" s="1"/>
  <c r="I17" i="3"/>
  <c r="K7" i="3"/>
  <c r="K60" i="9" s="1"/>
  <c r="G162" i="3"/>
  <c r="J162" i="3" s="1"/>
  <c r="G193" i="3"/>
  <c r="J193" i="3" s="1"/>
  <c r="K54" i="2"/>
  <c r="J333" i="2"/>
  <c r="K333" i="2" s="1"/>
  <c r="H174" i="3"/>
  <c r="I174" i="3" s="1"/>
  <c r="H22" i="3"/>
  <c r="H109" i="3" s="1"/>
  <c r="I109" i="3" s="1"/>
  <c r="L372" i="2"/>
  <c r="L103" i="2"/>
  <c r="M103" i="2" s="1"/>
  <c r="G156" i="3"/>
  <c r="J156" i="3" s="1"/>
  <c r="G11" i="3"/>
  <c r="J11" i="3" s="1"/>
  <c r="H161" i="3"/>
  <c r="I161" i="3" s="1"/>
  <c r="K99" i="2"/>
  <c r="M99" i="2" s="1"/>
  <c r="G163" i="3"/>
  <c r="J163" i="3" s="1"/>
  <c r="G76" i="3"/>
  <c r="J76" i="3" s="1"/>
  <c r="G105" i="3"/>
  <c r="J105" i="3" s="1"/>
  <c r="L250" i="2"/>
  <c r="J153" i="2"/>
  <c r="G30" i="3" s="1"/>
  <c r="H19" i="3"/>
  <c r="H48" i="3" s="1"/>
  <c r="I48" i="3" s="1"/>
  <c r="K48" i="3" s="1"/>
  <c r="K13" i="9" s="1"/>
  <c r="K187" i="3"/>
  <c r="H46" i="3"/>
  <c r="I46" i="3" s="1"/>
  <c r="K125" i="2"/>
  <c r="J258" i="2"/>
  <c r="K258" i="2" s="1"/>
  <c r="J392" i="2"/>
  <c r="K392" i="2" s="1"/>
  <c r="J81" i="2"/>
  <c r="G44" i="3" s="1"/>
  <c r="G143" i="3"/>
  <c r="J143" i="3" s="1"/>
  <c r="H38" i="3"/>
  <c r="H96" i="3" s="1"/>
  <c r="I96" i="3" s="1"/>
  <c r="H162" i="3"/>
  <c r="I162" i="3" s="1"/>
  <c r="K308" i="2"/>
  <c r="L274" i="2"/>
  <c r="K416" i="2"/>
  <c r="J458" i="2"/>
  <c r="K458" i="2" s="1"/>
  <c r="K459" i="2"/>
  <c r="H141" i="3"/>
  <c r="I141" i="3" s="1"/>
  <c r="K141" i="3" s="1"/>
  <c r="L207" i="2"/>
  <c r="G192" i="3"/>
  <c r="J192" i="3" s="1"/>
  <c r="L313" i="2"/>
  <c r="M313" i="2" s="1"/>
  <c r="H153" i="3"/>
  <c r="I153" i="3" s="1"/>
  <c r="H177" i="3"/>
  <c r="I177" i="3" s="1"/>
  <c r="K119" i="2"/>
  <c r="H23" i="3"/>
  <c r="H81" i="3" s="1"/>
  <c r="I81" i="3" s="1"/>
  <c r="J280" i="2"/>
  <c r="J290" i="2"/>
  <c r="L69" i="2"/>
  <c r="H30" i="3"/>
  <c r="H117" i="3" s="1"/>
  <c r="I117" i="3" s="1"/>
  <c r="G158" i="3"/>
  <c r="J158" i="3" s="1"/>
  <c r="G125" i="3"/>
  <c r="J125" i="3" s="1"/>
  <c r="H163" i="3"/>
  <c r="I163" i="3" s="1"/>
  <c r="L262" i="2"/>
  <c r="M262" i="2" s="1"/>
  <c r="J317" i="2"/>
  <c r="K317" i="2" s="1"/>
  <c r="J38" i="3"/>
  <c r="K183" i="3"/>
  <c r="K167" i="9" s="1"/>
  <c r="I50" i="2"/>
  <c r="L51" i="2"/>
  <c r="H10" i="3"/>
  <c r="I10" i="3" s="1"/>
  <c r="H138" i="3"/>
  <c r="I138" i="3" s="1"/>
  <c r="K138" i="3" s="1"/>
  <c r="K152" i="3"/>
  <c r="M115" i="2"/>
  <c r="G67" i="3"/>
  <c r="J67" i="3" s="1"/>
  <c r="M203" i="2"/>
  <c r="H137" i="3"/>
  <c r="I137" i="3" s="1"/>
  <c r="K330" i="2"/>
  <c r="I278" i="2"/>
  <c r="I202" i="3"/>
  <c r="K202" i="3" s="1"/>
  <c r="L295" i="2"/>
  <c r="M295" i="2" s="1"/>
  <c r="I416" i="2"/>
  <c r="J329" i="2"/>
  <c r="K329" i="2" s="1"/>
  <c r="M329" i="2" s="1"/>
  <c r="G136" i="3"/>
  <c r="J136" i="3" s="1"/>
  <c r="J250" i="2"/>
  <c r="K250" i="2" s="1"/>
  <c r="K251" i="2"/>
  <c r="K275" i="2"/>
  <c r="G142" i="3"/>
  <c r="J142" i="3" s="1"/>
  <c r="J274" i="2"/>
  <c r="K274" i="2" s="1"/>
  <c r="H78" i="3"/>
  <c r="I78" i="3" s="1"/>
  <c r="H49" i="3"/>
  <c r="I49" i="3" s="1"/>
  <c r="J178" i="3"/>
  <c r="H14" i="3"/>
  <c r="I14" i="3" s="1"/>
  <c r="M452" i="2"/>
  <c r="L81" i="2"/>
  <c r="H44" i="3"/>
  <c r="K184" i="3"/>
  <c r="K91" i="2"/>
  <c r="G17" i="3"/>
  <c r="I427" i="2"/>
  <c r="L427" i="2" s="1"/>
  <c r="L46" i="2"/>
  <c r="M46" i="2" s="1"/>
  <c r="K139" i="3"/>
  <c r="G181" i="3"/>
  <c r="J181" i="3" s="1"/>
  <c r="L480" i="2"/>
  <c r="M480" i="2" s="1"/>
  <c r="H196" i="3"/>
  <c r="I392" i="2"/>
  <c r="L392" i="2" s="1"/>
  <c r="L407" i="2"/>
  <c r="K69" i="2"/>
  <c r="G12" i="3"/>
  <c r="J12" i="3" s="1"/>
  <c r="K12" i="3" s="1"/>
  <c r="K153" i="9" s="1"/>
  <c r="J222" i="2"/>
  <c r="K224" i="2"/>
  <c r="K133" i="3"/>
  <c r="K9" i="9" s="1"/>
  <c r="J266" i="2"/>
  <c r="K266" i="2" s="1"/>
  <c r="G140" i="3"/>
  <c r="J140" i="3" s="1"/>
  <c r="M111" i="2"/>
  <c r="H45" i="3"/>
  <c r="L86" i="2"/>
  <c r="L367" i="2"/>
  <c r="H169" i="3"/>
  <c r="I169" i="3" s="1"/>
  <c r="J19" i="3"/>
  <c r="G77" i="3"/>
  <c r="J77" i="3" s="1"/>
  <c r="G106" i="3"/>
  <c r="J106" i="3" s="1"/>
  <c r="I222" i="2"/>
  <c r="L222" i="2" s="1"/>
  <c r="L225" i="2"/>
  <c r="J455" i="2"/>
  <c r="K456" i="2"/>
  <c r="G191" i="3"/>
  <c r="H24" i="3"/>
  <c r="L119" i="2"/>
  <c r="J384" i="2"/>
  <c r="G174" i="3"/>
  <c r="K385" i="2"/>
  <c r="H175" i="3"/>
  <c r="I175" i="3" s="1"/>
  <c r="L388" i="2"/>
  <c r="J160" i="3"/>
  <c r="L12" i="2"/>
  <c r="H6" i="3"/>
  <c r="L95" i="2"/>
  <c r="M95" i="2" s="1"/>
  <c r="H18" i="3"/>
  <c r="I227" i="2"/>
  <c r="L234" i="2"/>
  <c r="L341" i="2"/>
  <c r="M341" i="2" s="1"/>
  <c r="H164" i="3"/>
  <c r="I164" i="3" s="1"/>
  <c r="G182" i="3"/>
  <c r="K430" i="2"/>
  <c r="M430" i="2" s="1"/>
  <c r="G112" i="3"/>
  <c r="J112" i="3" s="1"/>
  <c r="G54" i="3"/>
  <c r="G83" i="3"/>
  <c r="J25" i="3"/>
  <c r="L266" i="2"/>
  <c r="H140" i="3"/>
  <c r="I157" i="3"/>
  <c r="K157" i="3" s="1"/>
  <c r="H197" i="3"/>
  <c r="L476" i="2"/>
  <c r="M476" i="2" s="1"/>
  <c r="H126" i="3"/>
  <c r="I126" i="3" s="1"/>
  <c r="H97" i="3"/>
  <c r="I97" i="3" s="1"/>
  <c r="I39" i="3"/>
  <c r="H68" i="3"/>
  <c r="I68" i="3" s="1"/>
  <c r="H107" i="3"/>
  <c r="I107" i="3" s="1"/>
  <c r="I20" i="3"/>
  <c r="G111" i="3"/>
  <c r="J111" i="3" s="1"/>
  <c r="J24" i="3"/>
  <c r="G53" i="3"/>
  <c r="J53" i="3" s="1"/>
  <c r="G82" i="3"/>
  <c r="J82" i="3" s="1"/>
  <c r="I193" i="3"/>
  <c r="J304" i="2"/>
  <c r="K304" i="2" s="1"/>
  <c r="G154" i="3"/>
  <c r="K305" i="2"/>
  <c r="J388" i="2"/>
  <c r="K388" i="2" s="1"/>
  <c r="G175" i="3"/>
  <c r="K389" i="2"/>
  <c r="K299" i="2"/>
  <c r="M299" i="2" s="1"/>
  <c r="G153" i="3"/>
  <c r="H35" i="3"/>
  <c r="L185" i="2"/>
  <c r="L308" i="2"/>
  <c r="H155" i="3"/>
  <c r="I155" i="3" s="1"/>
  <c r="G109" i="3"/>
  <c r="J22" i="3"/>
  <c r="G80" i="3"/>
  <c r="J80" i="3" s="1"/>
  <c r="G51" i="3"/>
  <c r="J51" i="3" s="1"/>
  <c r="H179" i="3"/>
  <c r="I179" i="3" s="1"/>
  <c r="L421" i="2"/>
  <c r="G108" i="3"/>
  <c r="J108" i="3" s="1"/>
  <c r="G50" i="3"/>
  <c r="J21" i="3"/>
  <c r="G79" i="3"/>
  <c r="L280" i="2"/>
  <c r="H143" i="3"/>
  <c r="I143" i="3" s="1"/>
  <c r="J367" i="2"/>
  <c r="K368" i="2"/>
  <c r="L321" i="2"/>
  <c r="M321" i="2" s="1"/>
  <c r="H159" i="3"/>
  <c r="I159" i="3" s="1"/>
  <c r="L290" i="2"/>
  <c r="H150" i="3"/>
  <c r="I150" i="3" s="1"/>
  <c r="K188" i="3"/>
  <c r="L472" i="2"/>
  <c r="H198" i="3"/>
  <c r="I484" i="2"/>
  <c r="J155" i="3"/>
  <c r="I185" i="3"/>
  <c r="K185" i="3" s="1"/>
  <c r="H199" i="3"/>
  <c r="L54" i="2"/>
  <c r="H9" i="3"/>
  <c r="I9" i="3" s="1"/>
  <c r="G107" i="3"/>
  <c r="J107" i="3" s="1"/>
  <c r="J20" i="3"/>
  <c r="G78" i="3"/>
  <c r="G49" i="3"/>
  <c r="L317" i="2"/>
  <c r="H158" i="3"/>
  <c r="I158" i="3" s="1"/>
  <c r="I75" i="2"/>
  <c r="L77" i="2"/>
  <c r="I142" i="3"/>
  <c r="J190" i="3"/>
  <c r="K190" i="3" s="1"/>
  <c r="J159" i="3"/>
  <c r="G39" i="3"/>
  <c r="K207" i="2"/>
  <c r="G35" i="3"/>
  <c r="K185" i="2"/>
  <c r="L325" i="2"/>
  <c r="M325" i="2" s="1"/>
  <c r="H160" i="3"/>
  <c r="I160" i="3" s="1"/>
  <c r="K17" i="2"/>
  <c r="G41" i="3"/>
  <c r="K217" i="2"/>
  <c r="H27" i="3"/>
  <c r="J254" i="2"/>
  <c r="G137" i="3"/>
  <c r="K255" i="2"/>
  <c r="H25" i="3"/>
  <c r="L125" i="2"/>
  <c r="J372" i="2"/>
  <c r="G171" i="3"/>
  <c r="K373" i="2"/>
  <c r="H31" i="3"/>
  <c r="H154" i="3"/>
  <c r="I154" i="3" s="1"/>
  <c r="L304" i="2"/>
  <c r="L376" i="2"/>
  <c r="M376" i="2" s="1"/>
  <c r="H172" i="3"/>
  <c r="J449" i="2"/>
  <c r="G189" i="3"/>
  <c r="K450" i="2"/>
  <c r="K421" i="2"/>
  <c r="G179" i="3"/>
  <c r="J179" i="3" s="1"/>
  <c r="I192" i="3"/>
  <c r="L191" i="2" l="1"/>
  <c r="AY194" i="3"/>
  <c r="AP167" i="3"/>
  <c r="I36" i="3"/>
  <c r="AP168" i="3"/>
  <c r="AJ135" i="3"/>
  <c r="F12" i="7" s="1"/>
  <c r="K183" i="9"/>
  <c r="AY195" i="3"/>
  <c r="I18" i="7" s="1"/>
  <c r="T18" i="7" s="1"/>
  <c r="K95" i="9"/>
  <c r="L5" i="9"/>
  <c r="AW190" i="3"/>
  <c r="K100" i="9"/>
  <c r="AW188" i="3"/>
  <c r="K121" i="9"/>
  <c r="AI139" i="3"/>
  <c r="K38" i="9"/>
  <c r="AI141" i="3"/>
  <c r="K72" i="9"/>
  <c r="AV185" i="3"/>
  <c r="K159" i="9"/>
  <c r="AL152" i="3"/>
  <c r="K128" i="9"/>
  <c r="AL151" i="3"/>
  <c r="K199" i="9"/>
  <c r="AH138" i="3"/>
  <c r="K110" i="9"/>
  <c r="AV187" i="3"/>
  <c r="K172" i="9"/>
  <c r="AV184" i="3"/>
  <c r="K158" i="9"/>
  <c r="CX202" i="3"/>
  <c r="S22" i="7" s="1"/>
  <c r="K48" i="9"/>
  <c r="AN157" i="3"/>
  <c r="K84" i="9"/>
  <c r="AD12" i="3"/>
  <c r="AV183" i="3"/>
  <c r="AT48" i="3"/>
  <c r="AU180" i="3"/>
  <c r="H173" i="3"/>
  <c r="I173" i="3" s="1"/>
  <c r="K173" i="3" s="1"/>
  <c r="G33" i="3"/>
  <c r="G62" i="3" s="1"/>
  <c r="H40" i="3"/>
  <c r="H69" i="3" s="1"/>
  <c r="I69" i="3" s="1"/>
  <c r="G32" i="3"/>
  <c r="G90" i="3" s="1"/>
  <c r="M179" i="2"/>
  <c r="P169" i="3"/>
  <c r="P170" i="3" s="1"/>
  <c r="P171" i="3" s="1"/>
  <c r="P172" i="3" s="1"/>
  <c r="P173" i="3" s="1"/>
  <c r="P174" i="3" s="1"/>
  <c r="P175" i="3" s="1"/>
  <c r="P176" i="3" s="1"/>
  <c r="P177" i="3" s="1"/>
  <c r="P178" i="3" s="1"/>
  <c r="P179" i="3" s="1"/>
  <c r="P180" i="3" s="1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7" i="3" s="1"/>
  <c r="P166" i="3"/>
  <c r="P167" i="3" s="1"/>
  <c r="P168" i="3" s="1"/>
  <c r="H32" i="3"/>
  <c r="H119" i="3" s="1"/>
  <c r="I119" i="3" s="1"/>
  <c r="G10" i="3"/>
  <c r="J10" i="3" s="1"/>
  <c r="AA133" i="3"/>
  <c r="E12" i="7" s="1"/>
  <c r="J365" i="2"/>
  <c r="I248" i="2"/>
  <c r="V7" i="3"/>
  <c r="D10" i="7" s="1"/>
  <c r="L151" i="2"/>
  <c r="H165" i="3"/>
  <c r="I165" i="3" s="1"/>
  <c r="K165" i="3" s="1"/>
  <c r="K188" i="9" s="1"/>
  <c r="L345" i="2"/>
  <c r="M345" i="2" s="1"/>
  <c r="G52" i="3"/>
  <c r="J52" i="3" s="1"/>
  <c r="H94" i="3"/>
  <c r="I94" i="3" s="1"/>
  <c r="L141" i="2"/>
  <c r="H123" i="3"/>
  <c r="I123" i="3" s="1"/>
  <c r="H70" i="3"/>
  <c r="I70" i="3" s="1"/>
  <c r="G57" i="3"/>
  <c r="J57" i="3" s="1"/>
  <c r="J28" i="3"/>
  <c r="H33" i="3"/>
  <c r="H62" i="3" s="1"/>
  <c r="I62" i="3" s="1"/>
  <c r="K191" i="2"/>
  <c r="M191" i="2" s="1"/>
  <c r="L107" i="2"/>
  <c r="M107" i="2" s="1"/>
  <c r="K141" i="2"/>
  <c r="G86" i="3"/>
  <c r="J86" i="3" s="1"/>
  <c r="G31" i="3"/>
  <c r="G60" i="3" s="1"/>
  <c r="K135" i="2"/>
  <c r="M135" i="2" s="1"/>
  <c r="J23" i="3"/>
  <c r="G81" i="3"/>
  <c r="J81" i="3" s="1"/>
  <c r="K81" i="3" s="1"/>
  <c r="K73" i="9" s="1"/>
  <c r="M69" i="2"/>
  <c r="I79" i="2"/>
  <c r="J213" i="2"/>
  <c r="K213" i="2" s="1"/>
  <c r="M213" i="2" s="1"/>
  <c r="M308" i="2"/>
  <c r="H37" i="3"/>
  <c r="H124" i="3" s="1"/>
  <c r="I124" i="3" s="1"/>
  <c r="H128" i="3"/>
  <c r="I128" i="3" s="1"/>
  <c r="H92" i="3"/>
  <c r="I92" i="3" s="1"/>
  <c r="L217" i="2"/>
  <c r="M217" i="2" s="1"/>
  <c r="M173" i="2"/>
  <c r="M167" i="2"/>
  <c r="L380" i="2"/>
  <c r="M380" i="2" s="1"/>
  <c r="G34" i="3"/>
  <c r="G121" i="3" s="1"/>
  <c r="J121" i="3" s="1"/>
  <c r="K121" i="3" s="1"/>
  <c r="K76" i="9" s="1"/>
  <c r="H99" i="3"/>
  <c r="I99" i="3" s="1"/>
  <c r="I34" i="3"/>
  <c r="H63" i="3"/>
  <c r="I63" i="3" s="1"/>
  <c r="M27" i="2"/>
  <c r="M37" i="2"/>
  <c r="K290" i="2"/>
  <c r="M290" i="2" s="1"/>
  <c r="J79" i="2"/>
  <c r="M12" i="2"/>
  <c r="M86" i="2"/>
  <c r="K79" i="2"/>
  <c r="M119" i="2"/>
  <c r="M54" i="2"/>
  <c r="M16" i="2"/>
  <c r="K131" i="2"/>
  <c r="M131" i="2" s="1"/>
  <c r="J147" i="2"/>
  <c r="G29" i="3" s="1"/>
  <c r="G116" i="3" s="1"/>
  <c r="J116" i="3" s="1"/>
  <c r="G45" i="3"/>
  <c r="J45" i="3" s="1"/>
  <c r="P198" i="3"/>
  <c r="P202" i="3" s="1"/>
  <c r="K186" i="3"/>
  <c r="K197" i="2"/>
  <c r="M197" i="2" s="1"/>
  <c r="G56" i="3"/>
  <c r="J56" i="3" s="1"/>
  <c r="J27" i="3"/>
  <c r="H26" i="3"/>
  <c r="H55" i="3" s="1"/>
  <c r="I55" i="3" s="1"/>
  <c r="G114" i="3"/>
  <c r="J114" i="3" s="1"/>
  <c r="J409" i="2"/>
  <c r="K280" i="2"/>
  <c r="I409" i="2"/>
  <c r="M207" i="2"/>
  <c r="M337" i="2"/>
  <c r="M91" i="2"/>
  <c r="K81" i="2"/>
  <c r="M317" i="2"/>
  <c r="G84" i="3"/>
  <c r="J84" i="3" s="1"/>
  <c r="G55" i="3"/>
  <c r="J55" i="3" s="1"/>
  <c r="G113" i="3"/>
  <c r="J113" i="3" s="1"/>
  <c r="J432" i="2"/>
  <c r="K11" i="3"/>
  <c r="K105" i="9" s="1"/>
  <c r="K162" i="3"/>
  <c r="K161" i="3"/>
  <c r="M461" i="2"/>
  <c r="M333" i="2"/>
  <c r="M258" i="2"/>
  <c r="I23" i="3"/>
  <c r="H52" i="3"/>
  <c r="I52" i="3" s="1"/>
  <c r="H110" i="3"/>
  <c r="I110" i="3" s="1"/>
  <c r="H51" i="3"/>
  <c r="I51" i="3" s="1"/>
  <c r="K193" i="3"/>
  <c r="H106" i="3"/>
  <c r="I106" i="3" s="1"/>
  <c r="K106" i="3" s="1"/>
  <c r="K31" i="9" s="1"/>
  <c r="M125" i="2"/>
  <c r="G176" i="3"/>
  <c r="J176" i="3" s="1"/>
  <c r="H77" i="3"/>
  <c r="I77" i="3" s="1"/>
  <c r="K77" i="3" s="1"/>
  <c r="K15" i="9" s="1"/>
  <c r="I38" i="3"/>
  <c r="K38" i="3" s="1"/>
  <c r="K104" i="9" s="1"/>
  <c r="I19" i="3"/>
  <c r="K19" i="3" s="1"/>
  <c r="K12" i="9" s="1"/>
  <c r="I22" i="3"/>
  <c r="K22" i="3" s="1"/>
  <c r="K24" i="9" s="1"/>
  <c r="K96" i="3"/>
  <c r="K109" i="9" s="1"/>
  <c r="H125" i="3"/>
  <c r="I125" i="3" s="1"/>
  <c r="H80" i="3"/>
  <c r="I80" i="3" s="1"/>
  <c r="K156" i="3"/>
  <c r="K153" i="2"/>
  <c r="M153" i="2" s="1"/>
  <c r="M458" i="2"/>
  <c r="H67" i="3"/>
  <c r="I67" i="3" s="1"/>
  <c r="G16" i="3"/>
  <c r="J16" i="3" s="1"/>
  <c r="K16" i="3" s="1"/>
  <c r="K141" i="9" s="1"/>
  <c r="H88" i="3"/>
  <c r="I88" i="3" s="1"/>
  <c r="K150" i="3"/>
  <c r="K192" i="3"/>
  <c r="I30" i="3"/>
  <c r="K177" i="3"/>
  <c r="K148" i="9" s="1"/>
  <c r="M250" i="2"/>
  <c r="L484" i="2"/>
  <c r="H59" i="3"/>
  <c r="I59" i="3" s="1"/>
  <c r="M185" i="2"/>
  <c r="K163" i="3"/>
  <c r="K136" i="3"/>
  <c r="H178" i="3"/>
  <c r="I178" i="3" s="1"/>
  <c r="L416" i="2"/>
  <c r="L432" i="2" s="1"/>
  <c r="K432" i="2"/>
  <c r="L50" i="2"/>
  <c r="M50" i="2" s="1"/>
  <c r="H8" i="3"/>
  <c r="I8" i="3" s="1"/>
  <c r="K8" i="3" s="1"/>
  <c r="K8" i="9" s="1"/>
  <c r="K142" i="3"/>
  <c r="K107" i="3"/>
  <c r="K25" i="9" s="1"/>
  <c r="I432" i="2"/>
  <c r="H181" i="3"/>
  <c r="M427" i="2"/>
  <c r="M421" i="2"/>
  <c r="M266" i="2"/>
  <c r="H74" i="3"/>
  <c r="I74" i="3" s="1"/>
  <c r="I45" i="3"/>
  <c r="H103" i="3"/>
  <c r="I103" i="3" s="1"/>
  <c r="H132" i="3"/>
  <c r="I132" i="3" s="1"/>
  <c r="G42" i="3"/>
  <c r="K222" i="2"/>
  <c r="H176" i="3"/>
  <c r="I176" i="3" s="1"/>
  <c r="J37" i="3"/>
  <c r="G66" i="3"/>
  <c r="G95" i="3"/>
  <c r="J95" i="3" s="1"/>
  <c r="G124" i="3"/>
  <c r="J124" i="3" s="1"/>
  <c r="H73" i="3"/>
  <c r="I73" i="3" s="1"/>
  <c r="H131" i="3"/>
  <c r="I131" i="3" s="1"/>
  <c r="I44" i="3"/>
  <c r="H102" i="3"/>
  <c r="I102" i="3" s="1"/>
  <c r="K164" i="3"/>
  <c r="K184" i="9" s="1"/>
  <c r="M304" i="2"/>
  <c r="K9" i="3"/>
  <c r="K120" i="9" s="1"/>
  <c r="K159" i="3"/>
  <c r="K158" i="3"/>
  <c r="H42" i="3"/>
  <c r="I196" i="3"/>
  <c r="K196" i="3" s="1"/>
  <c r="M274" i="2"/>
  <c r="G46" i="3"/>
  <c r="G104" i="3"/>
  <c r="G75" i="3"/>
  <c r="J75" i="3" s="1"/>
  <c r="K75" i="3" s="1"/>
  <c r="K43" i="9" s="1"/>
  <c r="J17" i="3"/>
  <c r="K17" i="3" s="1"/>
  <c r="K35" i="9" s="1"/>
  <c r="L147" i="2"/>
  <c r="H29" i="3"/>
  <c r="G123" i="3"/>
  <c r="J36" i="3"/>
  <c r="G94" i="3"/>
  <c r="J94" i="3" s="1"/>
  <c r="G65" i="3"/>
  <c r="J65" i="3" s="1"/>
  <c r="K65" i="3" s="1"/>
  <c r="K78" i="9" s="1"/>
  <c r="J171" i="3"/>
  <c r="K171" i="3" s="1"/>
  <c r="L75" i="2"/>
  <c r="M75" i="2" s="1"/>
  <c r="H13" i="3"/>
  <c r="J79" i="3"/>
  <c r="J85" i="3"/>
  <c r="I172" i="3"/>
  <c r="K172" i="3" s="1"/>
  <c r="K372" i="2"/>
  <c r="M372" i="2" s="1"/>
  <c r="H108" i="3"/>
  <c r="I108" i="3" s="1"/>
  <c r="I21" i="3"/>
  <c r="K21" i="3" s="1"/>
  <c r="K46" i="9" s="1"/>
  <c r="H50" i="3"/>
  <c r="I50" i="3" s="1"/>
  <c r="H79" i="3"/>
  <c r="I79" i="3" s="1"/>
  <c r="J41" i="3"/>
  <c r="K41" i="3" s="1"/>
  <c r="K116" i="9" s="1"/>
  <c r="G70" i="3"/>
  <c r="G128" i="3"/>
  <c r="J128" i="3" s="1"/>
  <c r="G99" i="3"/>
  <c r="J99" i="3" s="1"/>
  <c r="J39" i="3"/>
  <c r="K39" i="3" s="1"/>
  <c r="K59" i="9" s="1"/>
  <c r="G97" i="3"/>
  <c r="J97" i="3" s="1"/>
  <c r="K97" i="3" s="1"/>
  <c r="K67" i="9" s="1"/>
  <c r="G68" i="3"/>
  <c r="G126" i="3"/>
  <c r="J126" i="3" s="1"/>
  <c r="K126" i="3" s="1"/>
  <c r="K93" i="9" s="1"/>
  <c r="I199" i="3"/>
  <c r="K199" i="3" s="1"/>
  <c r="M472" i="2"/>
  <c r="M484" i="2" s="1"/>
  <c r="K367" i="2"/>
  <c r="M367" i="2" s="1"/>
  <c r="G169" i="3"/>
  <c r="H122" i="3"/>
  <c r="I122" i="3" s="1"/>
  <c r="H93" i="3"/>
  <c r="I93" i="3" s="1"/>
  <c r="H64" i="3"/>
  <c r="I64" i="3" s="1"/>
  <c r="I35" i="3"/>
  <c r="J182" i="3"/>
  <c r="K182" i="3" s="1"/>
  <c r="K129" i="9" s="1"/>
  <c r="K160" i="3"/>
  <c r="M388" i="2"/>
  <c r="K455" i="2"/>
  <c r="M455" i="2" s="1"/>
  <c r="I198" i="3"/>
  <c r="K198" i="3" s="1"/>
  <c r="G43" i="3"/>
  <c r="K227" i="2"/>
  <c r="K384" i="2"/>
  <c r="M384" i="2" s="1"/>
  <c r="H114" i="3"/>
  <c r="I114" i="3" s="1"/>
  <c r="I27" i="3"/>
  <c r="H85" i="3"/>
  <c r="I85" i="3" s="1"/>
  <c r="H56" i="3"/>
  <c r="I56" i="3" s="1"/>
  <c r="G15" i="3"/>
  <c r="G14" i="3"/>
  <c r="J49" i="3"/>
  <c r="K49" i="3" s="1"/>
  <c r="K11" i="9" s="1"/>
  <c r="H115" i="3"/>
  <c r="I115" i="3" s="1"/>
  <c r="H57" i="3"/>
  <c r="I57" i="3" s="1"/>
  <c r="I28" i="3"/>
  <c r="H86" i="3"/>
  <c r="I86" i="3" s="1"/>
  <c r="K155" i="3"/>
  <c r="J50" i="3"/>
  <c r="K179" i="3"/>
  <c r="K187" i="9" s="1"/>
  <c r="J154" i="3"/>
  <c r="K154" i="3" s="1"/>
  <c r="K20" i="3"/>
  <c r="K10" i="9" s="1"/>
  <c r="I197" i="3"/>
  <c r="K197" i="3" s="1"/>
  <c r="I140" i="3"/>
  <c r="K140" i="3" s="1"/>
  <c r="J83" i="3"/>
  <c r="I18" i="3"/>
  <c r="K18" i="3" s="1"/>
  <c r="K140" i="9" s="1"/>
  <c r="H47" i="3"/>
  <c r="H76" i="3"/>
  <c r="H105" i="3"/>
  <c r="I6" i="3"/>
  <c r="H112" i="3"/>
  <c r="I112" i="3" s="1"/>
  <c r="I25" i="3"/>
  <c r="K25" i="3" s="1"/>
  <c r="K171" i="9" s="1"/>
  <c r="H54" i="3"/>
  <c r="I54" i="3" s="1"/>
  <c r="H83" i="3"/>
  <c r="I83" i="3" s="1"/>
  <c r="J153" i="3"/>
  <c r="K153" i="3" s="1"/>
  <c r="J189" i="3"/>
  <c r="K189" i="3" s="1"/>
  <c r="J137" i="3"/>
  <c r="K137" i="3" s="1"/>
  <c r="K449" i="2"/>
  <c r="J464" i="2"/>
  <c r="H118" i="3"/>
  <c r="I118" i="3" s="1"/>
  <c r="I31" i="3"/>
  <c r="H60" i="3"/>
  <c r="I60" i="3" s="1"/>
  <c r="H89" i="3"/>
  <c r="I89" i="3" s="1"/>
  <c r="K254" i="2"/>
  <c r="K278" i="2" s="1"/>
  <c r="J278" i="2"/>
  <c r="G88" i="3"/>
  <c r="G59" i="3"/>
  <c r="G117" i="3"/>
  <c r="J117" i="3" s="1"/>
  <c r="K117" i="3" s="1"/>
  <c r="K175" i="9" s="1"/>
  <c r="J30" i="3"/>
  <c r="G93" i="3"/>
  <c r="G64" i="3"/>
  <c r="J35" i="3"/>
  <c r="G122" i="3"/>
  <c r="J122" i="3" s="1"/>
  <c r="L278" i="2"/>
  <c r="J78" i="3"/>
  <c r="K78" i="3" s="1"/>
  <c r="K14" i="9" s="1"/>
  <c r="G131" i="3"/>
  <c r="J131" i="3" s="1"/>
  <c r="G73" i="3"/>
  <c r="J73" i="3" s="1"/>
  <c r="J44" i="3"/>
  <c r="G102" i="3"/>
  <c r="J102" i="3" s="1"/>
  <c r="J109" i="3"/>
  <c r="K109" i="3" s="1"/>
  <c r="K70" i="9" s="1"/>
  <c r="J115" i="3"/>
  <c r="J175" i="3"/>
  <c r="K175" i="3" s="1"/>
  <c r="K143" i="3"/>
  <c r="J54" i="3"/>
  <c r="L227" i="2"/>
  <c r="H43" i="3"/>
  <c r="J174" i="3"/>
  <c r="K174" i="3" s="1"/>
  <c r="H111" i="3"/>
  <c r="I111" i="3" s="1"/>
  <c r="I24" i="3"/>
  <c r="K24" i="3" s="1"/>
  <c r="K62" i="9" s="1"/>
  <c r="H53" i="3"/>
  <c r="I53" i="3" s="1"/>
  <c r="H82" i="3"/>
  <c r="J191" i="3"/>
  <c r="K191" i="3" s="1"/>
  <c r="P191" i="3" l="1"/>
  <c r="P192" i="3" s="1"/>
  <c r="P193" i="3" s="1"/>
  <c r="P194" i="3" s="1"/>
  <c r="P195" i="3" s="1"/>
  <c r="H127" i="3"/>
  <c r="I127" i="3" s="1"/>
  <c r="K36" i="3"/>
  <c r="K77" i="9" s="1"/>
  <c r="T12" i="7"/>
  <c r="G120" i="3"/>
  <c r="J120" i="3" s="1"/>
  <c r="AM156" i="3"/>
  <c r="K163" i="9"/>
  <c r="AM154" i="3"/>
  <c r="K55" i="9"/>
  <c r="AI142" i="3"/>
  <c r="K113" i="9"/>
  <c r="AX198" i="3"/>
  <c r="K139" i="9"/>
  <c r="AO163" i="3"/>
  <c r="K98" i="9"/>
  <c r="AO162" i="3"/>
  <c r="K179" i="9"/>
  <c r="I499" i="2"/>
  <c r="AJ143" i="3"/>
  <c r="F14" i="7" s="1"/>
  <c r="K82" i="9"/>
  <c r="AN159" i="3"/>
  <c r="K91" i="9"/>
  <c r="AP174" i="3"/>
  <c r="K89" i="9"/>
  <c r="AH137" i="3"/>
  <c r="K97" i="9"/>
  <c r="AP171" i="3"/>
  <c r="K103" i="9"/>
  <c r="CT196" i="3"/>
  <c r="R19" i="7" s="1"/>
  <c r="K118" i="9"/>
  <c r="AX192" i="3"/>
  <c r="K193" i="9"/>
  <c r="AQ175" i="3"/>
  <c r="K124" i="9"/>
  <c r="AW189" i="3"/>
  <c r="K185" i="9"/>
  <c r="AM155" i="3"/>
  <c r="K42" i="9"/>
  <c r="AP173" i="3"/>
  <c r="K168" i="9"/>
  <c r="AP172" i="3"/>
  <c r="K182" i="9"/>
  <c r="AL150" i="3"/>
  <c r="K102" i="9"/>
  <c r="AV186" i="3"/>
  <c r="K186" i="9"/>
  <c r="AH136" i="3"/>
  <c r="K19" i="9"/>
  <c r="AN161" i="3"/>
  <c r="K189" i="9"/>
  <c r="AY199" i="3"/>
  <c r="I20" i="7" s="1"/>
  <c r="K6" i="9"/>
  <c r="L6" i="9" s="1"/>
  <c r="AX191" i="3"/>
  <c r="K99" i="9"/>
  <c r="AI140" i="3"/>
  <c r="K92" i="9"/>
  <c r="AL153" i="3"/>
  <c r="K152" i="9"/>
  <c r="AX197" i="3"/>
  <c r="K111" i="9"/>
  <c r="AN160" i="3"/>
  <c r="K170" i="9"/>
  <c r="AN158" i="3"/>
  <c r="K30" i="9"/>
  <c r="AX193" i="3"/>
  <c r="K192" i="9"/>
  <c r="CN109" i="3"/>
  <c r="W17" i="3"/>
  <c r="CN107" i="3"/>
  <c r="AC22" i="3"/>
  <c r="CQ121" i="3"/>
  <c r="CB81" i="3"/>
  <c r="AC20" i="3"/>
  <c r="AU182" i="3"/>
  <c r="CO117" i="3"/>
  <c r="AD25" i="3"/>
  <c r="AU179" i="3"/>
  <c r="CA78" i="3"/>
  <c r="CJ97" i="3"/>
  <c r="AC21" i="3"/>
  <c r="BW75" i="3"/>
  <c r="AB9" i="3"/>
  <c r="AT177" i="3"/>
  <c r="H16" i="7" s="1"/>
  <c r="Z19" i="3"/>
  <c r="AC11" i="3"/>
  <c r="AP165" i="3"/>
  <c r="H14" i="7" s="1"/>
  <c r="AD24" i="3"/>
  <c r="AN39" i="3"/>
  <c r="AN41" i="3"/>
  <c r="BR65" i="3"/>
  <c r="AB8" i="3"/>
  <c r="AM38" i="3"/>
  <c r="CM106" i="3"/>
  <c r="W18" i="3"/>
  <c r="AV49" i="3"/>
  <c r="CR126" i="3"/>
  <c r="AO164" i="3"/>
  <c r="AE16" i="3"/>
  <c r="CJ96" i="3"/>
  <c r="BY77" i="3"/>
  <c r="J33" i="3"/>
  <c r="G91" i="3"/>
  <c r="J91" i="3" s="1"/>
  <c r="G61" i="3"/>
  <c r="J61" i="3" s="1"/>
  <c r="H61" i="3"/>
  <c r="I61" i="3" s="1"/>
  <c r="J32" i="3"/>
  <c r="I32" i="3"/>
  <c r="I40" i="3"/>
  <c r="G119" i="3"/>
  <c r="J119" i="3" s="1"/>
  <c r="K119" i="3" s="1"/>
  <c r="K79" i="9" s="1"/>
  <c r="H90" i="3"/>
  <c r="I90" i="3" s="1"/>
  <c r="H98" i="3"/>
  <c r="I98" i="3" s="1"/>
  <c r="M141" i="2"/>
  <c r="K10" i="3"/>
  <c r="K68" i="9" s="1"/>
  <c r="J248" i="2"/>
  <c r="J499" i="2" s="1"/>
  <c r="K365" i="2"/>
  <c r="L248" i="2"/>
  <c r="M81" i="2"/>
  <c r="L365" i="2"/>
  <c r="K28" i="3"/>
  <c r="K80" i="9" s="1"/>
  <c r="H91" i="3"/>
  <c r="I91" i="3" s="1"/>
  <c r="H120" i="3"/>
  <c r="I120" i="3" s="1"/>
  <c r="I33" i="3"/>
  <c r="G118" i="3"/>
  <c r="J118" i="3" s="1"/>
  <c r="G89" i="3"/>
  <c r="J89" i="3" s="1"/>
  <c r="J31" i="3"/>
  <c r="K31" i="3" s="1"/>
  <c r="K132" i="9" s="1"/>
  <c r="K23" i="3"/>
  <c r="K65" i="9" s="1"/>
  <c r="G92" i="3"/>
  <c r="J92" i="3" s="1"/>
  <c r="K92" i="3" s="1"/>
  <c r="K44" i="9" s="1"/>
  <c r="G63" i="3"/>
  <c r="J63" i="3" s="1"/>
  <c r="K63" i="3" s="1"/>
  <c r="K39" i="9" s="1"/>
  <c r="L409" i="2"/>
  <c r="G40" i="3"/>
  <c r="J40" i="3" s="1"/>
  <c r="K99" i="3"/>
  <c r="K125" i="9" s="1"/>
  <c r="J34" i="3"/>
  <c r="K34" i="3" s="1"/>
  <c r="K36" i="9" s="1"/>
  <c r="K128" i="3"/>
  <c r="K150" i="9" s="1"/>
  <c r="I37" i="3"/>
  <c r="K37" i="3" s="1"/>
  <c r="K50" i="9" s="1"/>
  <c r="K124" i="3"/>
  <c r="K87" i="9" s="1"/>
  <c r="H66" i="3"/>
  <c r="I66" i="3" s="1"/>
  <c r="H95" i="3"/>
  <c r="I95" i="3" s="1"/>
  <c r="K147" i="2"/>
  <c r="K248" i="2" s="1"/>
  <c r="S23" i="7"/>
  <c r="T22" i="7"/>
  <c r="L79" i="2"/>
  <c r="M79" i="2"/>
  <c r="K56" i="3"/>
  <c r="K53" i="9" s="1"/>
  <c r="G132" i="3"/>
  <c r="J132" i="3" s="1"/>
  <c r="K132" i="3" s="1"/>
  <c r="K49" i="9" s="1"/>
  <c r="G103" i="3"/>
  <c r="J103" i="3" s="1"/>
  <c r="G74" i="3"/>
  <c r="J74" i="3" s="1"/>
  <c r="J29" i="3"/>
  <c r="G87" i="3"/>
  <c r="J87" i="3" s="1"/>
  <c r="G58" i="3"/>
  <c r="J58" i="3" s="1"/>
  <c r="K27" i="3"/>
  <c r="K51" i="9" s="1"/>
  <c r="K55" i="3"/>
  <c r="K115" i="9" s="1"/>
  <c r="H84" i="3"/>
  <c r="I84" i="3" s="1"/>
  <c r="K84" i="3" s="1"/>
  <c r="K123" i="9" s="1"/>
  <c r="H113" i="3"/>
  <c r="I113" i="3" s="1"/>
  <c r="I26" i="3"/>
  <c r="K26" i="3" s="1"/>
  <c r="K114" i="9" s="1"/>
  <c r="M280" i="2"/>
  <c r="M365" i="2" s="1"/>
  <c r="K114" i="3"/>
  <c r="K88" i="9" s="1"/>
  <c r="K51" i="3"/>
  <c r="K28" i="9" s="1"/>
  <c r="K52" i="3"/>
  <c r="K66" i="9" s="1"/>
  <c r="K110" i="3"/>
  <c r="K96" i="9" s="1"/>
  <c r="K80" i="3"/>
  <c r="K34" i="9" s="1"/>
  <c r="K125" i="3"/>
  <c r="K143" i="9" s="1"/>
  <c r="K44" i="3"/>
  <c r="K23" i="9" s="1"/>
  <c r="K30" i="3"/>
  <c r="K149" i="9" s="1"/>
  <c r="K67" i="3"/>
  <c r="K106" i="9" s="1"/>
  <c r="M222" i="2"/>
  <c r="M392" i="2"/>
  <c r="M409" i="2" s="1"/>
  <c r="K176" i="3"/>
  <c r="M416" i="2"/>
  <c r="M432" i="2" s="1"/>
  <c r="K122" i="3"/>
  <c r="K156" i="9" s="1"/>
  <c r="M227" i="2"/>
  <c r="K45" i="3"/>
  <c r="K16" i="9" s="1"/>
  <c r="K86" i="3"/>
  <c r="K86" i="9" s="1"/>
  <c r="K54" i="3"/>
  <c r="K173" i="9" s="1"/>
  <c r="K131" i="3"/>
  <c r="K69" i="9" s="1"/>
  <c r="K464" i="2"/>
  <c r="K94" i="3"/>
  <c r="K83" i="9" s="1"/>
  <c r="H205" i="3"/>
  <c r="K178" i="3"/>
  <c r="K119" i="9" s="1"/>
  <c r="K35" i="3"/>
  <c r="K126" i="9" s="1"/>
  <c r="G71" i="3"/>
  <c r="G129" i="3"/>
  <c r="J42" i="3"/>
  <c r="G100" i="3"/>
  <c r="J100" i="3" s="1"/>
  <c r="K73" i="3"/>
  <c r="K26" i="9" s="1"/>
  <c r="K79" i="3"/>
  <c r="K54" i="9" s="1"/>
  <c r="H129" i="3"/>
  <c r="I129" i="3" s="1"/>
  <c r="H71" i="3"/>
  <c r="I71" i="3" s="1"/>
  <c r="H100" i="3"/>
  <c r="I100" i="3" s="1"/>
  <c r="I42" i="3"/>
  <c r="H87" i="3"/>
  <c r="I87" i="3" s="1"/>
  <c r="H58" i="3"/>
  <c r="I58" i="3" s="1"/>
  <c r="H116" i="3"/>
  <c r="I29" i="3"/>
  <c r="J104" i="3"/>
  <c r="K104" i="3" s="1"/>
  <c r="K75" i="9" s="1"/>
  <c r="I181" i="3"/>
  <c r="K181" i="3" s="1"/>
  <c r="K102" i="3"/>
  <c r="K33" i="9" s="1"/>
  <c r="K108" i="3"/>
  <c r="K85" i="9" s="1"/>
  <c r="K83" i="3"/>
  <c r="K176" i="9" s="1"/>
  <c r="J46" i="3"/>
  <c r="K46" i="3" s="1"/>
  <c r="K37" i="9" s="1"/>
  <c r="J66" i="3"/>
  <c r="I76" i="3"/>
  <c r="K76" i="3" s="1"/>
  <c r="K146" i="9" s="1"/>
  <c r="J14" i="3"/>
  <c r="K14" i="3" s="1"/>
  <c r="K32" i="9" s="1"/>
  <c r="J169" i="3"/>
  <c r="K169" i="3" s="1"/>
  <c r="J68" i="3"/>
  <c r="K68" i="3" s="1"/>
  <c r="K61" i="9" s="1"/>
  <c r="J123" i="3"/>
  <c r="K123" i="3" s="1"/>
  <c r="K108" i="9" s="1"/>
  <c r="I47" i="3"/>
  <c r="K47" i="3" s="1"/>
  <c r="K142" i="9" s="1"/>
  <c r="K112" i="3"/>
  <c r="K190" i="9" s="1"/>
  <c r="G130" i="3"/>
  <c r="G101" i="3"/>
  <c r="J101" i="3" s="1"/>
  <c r="G72" i="3"/>
  <c r="J43" i="3"/>
  <c r="K409" i="2"/>
  <c r="J70" i="3"/>
  <c r="K70" i="3" s="1"/>
  <c r="K117" i="9" s="1"/>
  <c r="J15" i="3"/>
  <c r="K15" i="3" s="1"/>
  <c r="K74" i="9" s="1"/>
  <c r="CM199" i="3"/>
  <c r="Q20" i="7" s="1"/>
  <c r="BS199" i="3"/>
  <c r="M20" i="7" s="1"/>
  <c r="AE199" i="3"/>
  <c r="E20" i="7" s="1"/>
  <c r="CU199" i="3"/>
  <c r="R20" i="7" s="1"/>
  <c r="CH199" i="3"/>
  <c r="P20" i="7" s="1"/>
  <c r="BN199" i="3"/>
  <c r="L20" i="7" s="1"/>
  <c r="AT199" i="3"/>
  <c r="H20" i="7" s="1"/>
  <c r="Z199" i="3"/>
  <c r="D20" i="7" s="1"/>
  <c r="CC199" i="3"/>
  <c r="O20" i="7" s="1"/>
  <c r="BI199" i="3"/>
  <c r="K20" i="7" s="1"/>
  <c r="AO199" i="3"/>
  <c r="G20" i="7" s="1"/>
  <c r="BX199" i="3"/>
  <c r="N20" i="7" s="1"/>
  <c r="BD199" i="3"/>
  <c r="J20" i="7" s="1"/>
  <c r="AJ199" i="3"/>
  <c r="F20" i="7" s="1"/>
  <c r="J62" i="3"/>
  <c r="K62" i="3" s="1"/>
  <c r="K21" i="9" s="1"/>
  <c r="J64" i="3"/>
  <c r="K64" i="3" s="1"/>
  <c r="K127" i="9" s="1"/>
  <c r="J59" i="3"/>
  <c r="K59" i="3" s="1"/>
  <c r="K151" i="9" s="1"/>
  <c r="M449" i="2"/>
  <c r="M464" i="2" s="1"/>
  <c r="K6" i="3"/>
  <c r="K22" i="9" s="1"/>
  <c r="K50" i="3"/>
  <c r="K47" i="9" s="1"/>
  <c r="K57" i="3"/>
  <c r="K81" i="9" s="1"/>
  <c r="K111" i="3"/>
  <c r="K94" i="9" s="1"/>
  <c r="K85" i="3"/>
  <c r="K57" i="9" s="1"/>
  <c r="I82" i="3"/>
  <c r="K82" i="3" s="1"/>
  <c r="K71" i="9" s="1"/>
  <c r="H72" i="3"/>
  <c r="I72" i="3" s="1"/>
  <c r="H101" i="3"/>
  <c r="I101" i="3" s="1"/>
  <c r="I43" i="3"/>
  <c r="H130" i="3"/>
  <c r="I130" i="3" s="1"/>
  <c r="K53" i="3"/>
  <c r="K64" i="9" s="1"/>
  <c r="K115" i="3"/>
  <c r="K112" i="9" s="1"/>
  <c r="J93" i="3"/>
  <c r="K93" i="3" s="1"/>
  <c r="K130" i="9" s="1"/>
  <c r="J88" i="3"/>
  <c r="K88" i="3" s="1"/>
  <c r="K155" i="9" s="1"/>
  <c r="M254" i="2"/>
  <c r="M278" i="2" s="1"/>
  <c r="J90" i="3"/>
  <c r="I105" i="3"/>
  <c r="K105" i="3" s="1"/>
  <c r="K169" i="9" s="1"/>
  <c r="J60" i="3"/>
  <c r="K60" i="3" s="1"/>
  <c r="K133" i="9" s="1"/>
  <c r="I13" i="3"/>
  <c r="I19" i="7" l="1"/>
  <c r="T19" i="7" s="1"/>
  <c r="I17" i="7"/>
  <c r="T17" i="7" s="1"/>
  <c r="F13" i="7"/>
  <c r="T13" i="7" s="1"/>
  <c r="AL36" i="3"/>
  <c r="K499" i="2"/>
  <c r="D11" i="7"/>
  <c r="D23" i="7" s="1"/>
  <c r="AP169" i="3"/>
  <c r="K122" i="9"/>
  <c r="G14" i="7"/>
  <c r="T14" i="7" s="1"/>
  <c r="AU181" i="3"/>
  <c r="K157" i="9"/>
  <c r="AT176" i="3"/>
  <c r="K29" i="9"/>
  <c r="L7" i="9"/>
  <c r="BI52" i="3"/>
  <c r="K11" i="7" s="1"/>
  <c r="K23" i="7" s="1"/>
  <c r="BJ55" i="3"/>
  <c r="AL37" i="3"/>
  <c r="AC23" i="3"/>
  <c r="BP62" i="3"/>
  <c r="AQ47" i="3"/>
  <c r="AN44" i="3"/>
  <c r="BJ53" i="3"/>
  <c r="BL57" i="3"/>
  <c r="BL59" i="3"/>
  <c r="BT70" i="3"/>
  <c r="AE14" i="3"/>
  <c r="CC83" i="3"/>
  <c r="CL104" i="3"/>
  <c r="BU73" i="3"/>
  <c r="CI94" i="3"/>
  <c r="CD86" i="3"/>
  <c r="CR125" i="3"/>
  <c r="BB51" i="3"/>
  <c r="J11" i="7" s="1"/>
  <c r="J23" i="7" s="1"/>
  <c r="AD26" i="3"/>
  <c r="AF27" i="3"/>
  <c r="CS132" i="3"/>
  <c r="CR128" i="3"/>
  <c r="AF31" i="3"/>
  <c r="AC10" i="3"/>
  <c r="BJ54" i="3"/>
  <c r="CD88" i="3"/>
  <c r="CC82" i="3"/>
  <c r="BQ64" i="3"/>
  <c r="CQ123" i="3"/>
  <c r="BW76" i="3"/>
  <c r="CN108" i="3"/>
  <c r="AL35" i="3"/>
  <c r="AO45" i="3"/>
  <c r="BR67" i="3"/>
  <c r="CB80" i="3"/>
  <c r="BK56" i="3"/>
  <c r="AL34" i="3"/>
  <c r="BQ63" i="3"/>
  <c r="CP119" i="3"/>
  <c r="CO115" i="3"/>
  <c r="CO111" i="3"/>
  <c r="AE15" i="3"/>
  <c r="AQ46" i="3"/>
  <c r="CQ122" i="3"/>
  <c r="BL60" i="3"/>
  <c r="AW50" i="3"/>
  <c r="I11" i="7" s="1"/>
  <c r="CL105" i="3"/>
  <c r="CI93" i="3"/>
  <c r="CD85" i="3"/>
  <c r="CO112" i="3"/>
  <c r="BT68" i="3"/>
  <c r="CK102" i="3"/>
  <c r="CB79" i="3"/>
  <c r="AU178" i="3"/>
  <c r="CR131" i="3"/>
  <c r="AF30" i="3"/>
  <c r="CN110" i="3"/>
  <c r="CO114" i="3"/>
  <c r="CC84" i="3"/>
  <c r="CR124" i="3"/>
  <c r="CK99" i="3"/>
  <c r="CI92" i="3"/>
  <c r="AF28" i="3"/>
  <c r="K90" i="3"/>
  <c r="K45" i="9" s="1"/>
  <c r="K33" i="3"/>
  <c r="K20" i="9" s="1"/>
  <c r="K61" i="3"/>
  <c r="K41" i="9" s="1"/>
  <c r="K32" i="3"/>
  <c r="K40" i="9" s="1"/>
  <c r="K40" i="3"/>
  <c r="K136" i="9" s="1"/>
  <c r="L499" i="2"/>
  <c r="K91" i="3"/>
  <c r="K27" i="9" s="1"/>
  <c r="K120" i="3"/>
  <c r="K63" i="9" s="1"/>
  <c r="K118" i="3"/>
  <c r="K162" i="9" s="1"/>
  <c r="K89" i="3"/>
  <c r="K138" i="9" s="1"/>
  <c r="G69" i="3"/>
  <c r="J69" i="3" s="1"/>
  <c r="K69" i="3" s="1"/>
  <c r="K137" i="9" s="1"/>
  <c r="G127" i="3"/>
  <c r="J127" i="3" s="1"/>
  <c r="K127" i="3" s="1"/>
  <c r="K166" i="9" s="1"/>
  <c r="G205" i="3"/>
  <c r="G98" i="3"/>
  <c r="J98" i="3" s="1"/>
  <c r="K98" i="3" s="1"/>
  <c r="K145" i="9" s="1"/>
  <c r="K66" i="3"/>
  <c r="K52" i="9" s="1"/>
  <c r="K95" i="3"/>
  <c r="K56" i="9" s="1"/>
  <c r="M147" i="2"/>
  <c r="M248" i="2" s="1"/>
  <c r="M499" i="2" s="1"/>
  <c r="T20" i="7"/>
  <c r="K103" i="3"/>
  <c r="K18" i="9" s="1"/>
  <c r="K74" i="3"/>
  <c r="K17" i="9" s="1"/>
  <c r="K29" i="3"/>
  <c r="K134" i="9" s="1"/>
  <c r="K113" i="3"/>
  <c r="K147" i="9" s="1"/>
  <c r="K43" i="3"/>
  <c r="K160" i="9" s="1"/>
  <c r="I205" i="3"/>
  <c r="K100" i="3"/>
  <c r="K87" i="3"/>
  <c r="K144" i="9" s="1"/>
  <c r="I116" i="3"/>
  <c r="K116" i="3" s="1"/>
  <c r="K164" i="9" s="1"/>
  <c r="K42" i="3"/>
  <c r="K58" i="3"/>
  <c r="K135" i="9" s="1"/>
  <c r="J129" i="3"/>
  <c r="K129" i="3" s="1"/>
  <c r="K13" i="3"/>
  <c r="K90" i="9" s="1"/>
  <c r="J71" i="3"/>
  <c r="K71" i="3" s="1"/>
  <c r="Z205" i="3"/>
  <c r="J130" i="3"/>
  <c r="K130" i="3" s="1"/>
  <c r="K181" i="9" s="1"/>
  <c r="U6" i="3"/>
  <c r="U205" i="3" s="1"/>
  <c r="J72" i="3"/>
  <c r="K72" i="3" s="1"/>
  <c r="K161" i="9" s="1"/>
  <c r="K101" i="3"/>
  <c r="K165" i="9" s="1"/>
  <c r="J205" i="3"/>
  <c r="H15" i="7" l="1"/>
  <c r="T15" i="7" s="1"/>
  <c r="E11" i="7"/>
  <c r="BI205" i="3"/>
  <c r="BD205" i="3"/>
  <c r="I16" i="7"/>
  <c r="T16" i="7" s="1"/>
  <c r="AN42" i="3"/>
  <c r="K177" i="9"/>
  <c r="CR129" i="3"/>
  <c r="K191" i="9"/>
  <c r="AY205" i="3"/>
  <c r="L8" i="9"/>
  <c r="BT71" i="3"/>
  <c r="K178" i="9"/>
  <c r="CK100" i="3"/>
  <c r="K180" i="9"/>
  <c r="CC205" i="3"/>
  <c r="AT205" i="3"/>
  <c r="O11" i="7"/>
  <c r="O23" i="7" s="1"/>
  <c r="H11" i="7"/>
  <c r="H23" i="7" s="1"/>
  <c r="CL103" i="3"/>
  <c r="BR66" i="3"/>
  <c r="M11" i="7" s="1"/>
  <c r="M23" i="7" s="1"/>
  <c r="BT69" i="3"/>
  <c r="CQ120" i="3"/>
  <c r="AJ33" i="3"/>
  <c r="CO116" i="3"/>
  <c r="CK101" i="3"/>
  <c r="CR130" i="3"/>
  <c r="BL58" i="3"/>
  <c r="CD87" i="3"/>
  <c r="AF29" i="3"/>
  <c r="CK98" i="3"/>
  <c r="CH91" i="3"/>
  <c r="AN40" i="3"/>
  <c r="CF90" i="3"/>
  <c r="CO113" i="3"/>
  <c r="BU74" i="3"/>
  <c r="CD89" i="3"/>
  <c r="AH32" i="3"/>
  <c r="AN43" i="3"/>
  <c r="CJ95" i="3"/>
  <c r="CR127" i="3"/>
  <c r="CO118" i="3"/>
  <c r="BN61" i="3"/>
  <c r="K205" i="3"/>
  <c r="AD13" i="3"/>
  <c r="AE205" i="3" s="1"/>
  <c r="BT72" i="3"/>
  <c r="C9" i="7"/>
  <c r="T9" i="7" s="1"/>
  <c r="K208" i="9" l="1"/>
  <c r="M5" i="9" s="1"/>
  <c r="Q11" i="7"/>
  <c r="Q23" i="7" s="1"/>
  <c r="I23" i="7"/>
  <c r="AJ205" i="3"/>
  <c r="L9" i="9"/>
  <c r="L11" i="7"/>
  <c r="L23" i="7" s="1"/>
  <c r="CM205" i="3"/>
  <c r="G11" i="7"/>
  <c r="G23" i="7" s="1"/>
  <c r="BN205" i="3"/>
  <c r="AO205" i="3"/>
  <c r="CH205" i="3"/>
  <c r="R11" i="7"/>
  <c r="R23" i="7" s="1"/>
  <c r="CX205" i="3"/>
  <c r="BS205" i="3"/>
  <c r="P11" i="7"/>
  <c r="P23" i="7" s="1"/>
  <c r="F11" i="7"/>
  <c r="F23" i="7" s="1"/>
  <c r="E10" i="7"/>
  <c r="E23" i="7" s="1"/>
  <c r="C23" i="7"/>
  <c r="N11" i="7"/>
  <c r="BX205" i="3"/>
  <c r="M7" i="9" l="1"/>
  <c r="M8" i="9"/>
  <c r="M6" i="9"/>
  <c r="L10" i="9"/>
  <c r="M9" i="9"/>
  <c r="T11" i="7"/>
  <c r="CX208" i="3"/>
  <c r="T10" i="7"/>
  <c r="N23" i="7"/>
  <c r="T23" i="7" s="1"/>
  <c r="M10" i="9" l="1"/>
  <c r="L11" i="9"/>
  <c r="L12" i="9" l="1"/>
  <c r="M11" i="9"/>
  <c r="L13" i="9" l="1"/>
  <c r="M12" i="9"/>
  <c r="M13" i="9" l="1"/>
  <c r="L14" i="9"/>
  <c r="M14" i="9" l="1"/>
  <c r="L15" i="9"/>
  <c r="L16" i="9" l="1"/>
  <c r="M15" i="9"/>
  <c r="L17" i="9" l="1"/>
  <c r="M16" i="9"/>
  <c r="M17" i="9" l="1"/>
  <c r="L18" i="9"/>
  <c r="M18" i="9" l="1"/>
  <c r="L19" i="9"/>
  <c r="L20" i="9" l="1"/>
  <c r="M19" i="9"/>
  <c r="L21" i="9" l="1"/>
  <c r="M20" i="9"/>
  <c r="M21" i="9" l="1"/>
  <c r="L22" i="9"/>
  <c r="L23" i="9" l="1"/>
  <c r="M22" i="9"/>
  <c r="M23" i="9" l="1"/>
  <c r="L24" i="9"/>
  <c r="M24" i="9" l="1"/>
  <c r="L25" i="9"/>
  <c r="M25" i="9" l="1"/>
  <c r="L26" i="9"/>
  <c r="L27" i="9" l="1"/>
  <c r="M26" i="9"/>
  <c r="M27" i="9" l="1"/>
  <c r="L28" i="9"/>
  <c r="L29" i="9" l="1"/>
  <c r="M28" i="9"/>
  <c r="M29" i="9" l="1"/>
  <c r="L30" i="9"/>
  <c r="M30" i="9" l="1"/>
  <c r="L31" i="9"/>
  <c r="M31" i="9" l="1"/>
  <c r="L32" i="9"/>
  <c r="L33" i="9" l="1"/>
  <c r="M32" i="9"/>
  <c r="M33" i="9" l="1"/>
  <c r="L34" i="9"/>
  <c r="L35" i="9" l="1"/>
  <c r="M34" i="9"/>
  <c r="L36" i="9" l="1"/>
  <c r="M35" i="9"/>
  <c r="L37" i="9" l="1"/>
  <c r="M36" i="9"/>
  <c r="L38" i="9" l="1"/>
  <c r="M37" i="9"/>
  <c r="L39" i="9" l="1"/>
  <c r="M38" i="9"/>
  <c r="M39" i="9" l="1"/>
  <c r="L40" i="9"/>
  <c r="M40" i="9" l="1"/>
  <c r="L41" i="9"/>
  <c r="L42" i="9" l="1"/>
  <c r="M41" i="9"/>
  <c r="M42" i="9" l="1"/>
  <c r="L43" i="9"/>
  <c r="M43" i="9" l="1"/>
  <c r="L44" i="9"/>
  <c r="L45" i="9" l="1"/>
  <c r="M44" i="9"/>
  <c r="L46" i="9" l="1"/>
  <c r="M45" i="9"/>
  <c r="L47" i="9" l="1"/>
  <c r="M46" i="9"/>
  <c r="M47" i="9" l="1"/>
  <c r="L48" i="9"/>
  <c r="L49" i="9" l="1"/>
  <c r="M48" i="9"/>
  <c r="L50" i="9" l="1"/>
  <c r="M49" i="9"/>
  <c r="M50" i="9" l="1"/>
  <c r="L51" i="9"/>
  <c r="M51" i="9" l="1"/>
  <c r="L52" i="9"/>
  <c r="M52" i="9" l="1"/>
  <c r="L53" i="9"/>
  <c r="L54" i="9" l="1"/>
  <c r="M53" i="9"/>
  <c r="M54" i="9" l="1"/>
  <c r="L55" i="9"/>
  <c r="M55" i="9" l="1"/>
  <c r="L56" i="9"/>
  <c r="L57" i="9" l="1"/>
  <c r="M56" i="9"/>
  <c r="L58" i="9" l="1"/>
  <c r="M57" i="9"/>
  <c r="M58" i="9" l="1"/>
  <c r="L59" i="9"/>
  <c r="M59" i="9" l="1"/>
  <c r="L60" i="9"/>
  <c r="L61" i="9" l="1"/>
  <c r="M60" i="9"/>
  <c r="L62" i="9" l="1"/>
  <c r="M61" i="9"/>
  <c r="M62" i="9" l="1"/>
  <c r="L63" i="9"/>
  <c r="M63" i="9" l="1"/>
  <c r="L64" i="9"/>
  <c r="L65" i="9" l="1"/>
  <c r="M64" i="9"/>
  <c r="L66" i="9" l="1"/>
  <c r="M65" i="9"/>
  <c r="M66" i="9" l="1"/>
  <c r="L67" i="9"/>
  <c r="M67" i="9" l="1"/>
  <c r="L68" i="9"/>
  <c r="L69" i="9" l="1"/>
  <c r="M68" i="9"/>
  <c r="L70" i="9" l="1"/>
  <c r="M69" i="9"/>
  <c r="M70" i="9" l="1"/>
  <c r="L71" i="9"/>
  <c r="M71" i="9" l="1"/>
  <c r="L72" i="9"/>
  <c r="L73" i="9" l="1"/>
  <c r="M72" i="9"/>
  <c r="L74" i="9" l="1"/>
  <c r="M73" i="9"/>
  <c r="M74" i="9" l="1"/>
  <c r="L75" i="9"/>
  <c r="M75" i="9" l="1"/>
  <c r="L76" i="9"/>
  <c r="L77" i="9" l="1"/>
  <c r="M76" i="9"/>
  <c r="L78" i="9" l="1"/>
  <c r="M77" i="9"/>
  <c r="M78" i="9" l="1"/>
  <c r="L79" i="9"/>
  <c r="M79" i="9" l="1"/>
  <c r="L80" i="9"/>
  <c r="M80" i="9" l="1"/>
  <c r="L81" i="9"/>
  <c r="M81" i="9" l="1"/>
  <c r="L82" i="9"/>
  <c r="M82" i="9" l="1"/>
  <c r="L83" i="9"/>
  <c r="M83" i="9" l="1"/>
  <c r="L84" i="9"/>
  <c r="L85" i="9" l="1"/>
  <c r="M84" i="9"/>
  <c r="L86" i="9" l="1"/>
  <c r="M85" i="9"/>
  <c r="M86" i="9" l="1"/>
  <c r="L87" i="9"/>
  <c r="M87" i="9" l="1"/>
  <c r="L88" i="9"/>
  <c r="L89" i="9" l="1"/>
  <c r="M88" i="9"/>
  <c r="M89" i="9" l="1"/>
  <c r="L90" i="9"/>
  <c r="M90" i="9" l="1"/>
  <c r="L91" i="9"/>
  <c r="M91" i="9" l="1"/>
  <c r="L92" i="9"/>
  <c r="L93" i="9" l="1"/>
  <c r="M92" i="9"/>
  <c r="L94" i="9" l="1"/>
  <c r="M93" i="9"/>
  <c r="M94" i="9" l="1"/>
  <c r="L95" i="9"/>
  <c r="M95" i="9" l="1"/>
  <c r="L96" i="9"/>
  <c r="L97" i="9" l="1"/>
  <c r="M96" i="9"/>
  <c r="M97" i="9" l="1"/>
  <c r="L98" i="9"/>
  <c r="M98" i="9" l="1"/>
  <c r="L99" i="9"/>
  <c r="M99" i="9" l="1"/>
  <c r="L100" i="9"/>
  <c r="L101" i="9" l="1"/>
  <c r="M100" i="9"/>
  <c r="M101" i="9" l="1"/>
  <c r="L102" i="9"/>
  <c r="M102" i="9" l="1"/>
  <c r="L103" i="9"/>
  <c r="M103" i="9" l="1"/>
  <c r="L104" i="9"/>
  <c r="L105" i="9" l="1"/>
  <c r="M104" i="9"/>
  <c r="L106" i="9" l="1"/>
  <c r="M105" i="9"/>
  <c r="M106" i="9" l="1"/>
  <c r="L107" i="9"/>
  <c r="M107" i="9" l="1"/>
  <c r="L108" i="9"/>
  <c r="M108" i="9" l="1"/>
  <c r="L109" i="9"/>
  <c r="M109" i="9" l="1"/>
  <c r="L110" i="9"/>
  <c r="M110" i="9" l="1"/>
  <c r="L111" i="9"/>
  <c r="M111" i="9" l="1"/>
  <c r="L112" i="9"/>
  <c r="L113" i="9" l="1"/>
  <c r="M112" i="9"/>
  <c r="L114" i="9" l="1"/>
  <c r="M113" i="9"/>
  <c r="M114" i="9" l="1"/>
  <c r="L115" i="9"/>
  <c r="M115" i="9" l="1"/>
  <c r="L116" i="9"/>
  <c r="L117" i="9" l="1"/>
  <c r="M116" i="9"/>
  <c r="L118" i="9" l="1"/>
  <c r="M117" i="9"/>
  <c r="M118" i="9" l="1"/>
  <c r="L119" i="9"/>
  <c r="M119" i="9" l="1"/>
  <c r="L120" i="9"/>
  <c r="L121" i="9" l="1"/>
  <c r="M120" i="9"/>
  <c r="L122" i="9" l="1"/>
  <c r="M121" i="9"/>
  <c r="M122" i="9" l="1"/>
  <c r="L123" i="9"/>
  <c r="L124" i="9" l="1"/>
  <c r="M123" i="9"/>
  <c r="M124" i="9" l="1"/>
  <c r="L125" i="9"/>
  <c r="L126" i="9" l="1"/>
  <c r="M125" i="9"/>
  <c r="M126" i="9" l="1"/>
  <c r="L127" i="9"/>
  <c r="M127" i="9" l="1"/>
  <c r="L128" i="9"/>
  <c r="L129" i="9" l="1"/>
  <c r="M128" i="9"/>
  <c r="M129" i="9" l="1"/>
  <c r="L130" i="9"/>
  <c r="M130" i="9" l="1"/>
  <c r="L131" i="9"/>
  <c r="L132" i="9" l="1"/>
  <c r="M131" i="9"/>
  <c r="M132" i="9" l="1"/>
  <c r="L133" i="9"/>
  <c r="L134" i="9" l="1"/>
  <c r="M133" i="9"/>
  <c r="M134" i="9" l="1"/>
  <c r="L135" i="9"/>
  <c r="M135" i="9" l="1"/>
  <c r="L136" i="9"/>
  <c r="M136" i="9" l="1"/>
  <c r="L137" i="9"/>
  <c r="L138" i="9" l="1"/>
  <c r="M137" i="9"/>
  <c r="M138" i="9" l="1"/>
  <c r="L139" i="9"/>
  <c r="M139" i="9" l="1"/>
  <c r="L140" i="9"/>
  <c r="L141" i="9" l="1"/>
  <c r="M140" i="9"/>
  <c r="L142" i="9" l="1"/>
  <c r="M141" i="9"/>
  <c r="M142" i="9" l="1"/>
  <c r="L143" i="9"/>
  <c r="M143" i="9" l="1"/>
  <c r="L144" i="9"/>
  <c r="L145" i="9" l="1"/>
  <c r="M144" i="9"/>
  <c r="L146" i="9" l="1"/>
  <c r="M145" i="9"/>
  <c r="M146" i="9" l="1"/>
  <c r="L147" i="9"/>
  <c r="L148" i="9" l="1"/>
  <c r="M147" i="9"/>
  <c r="L149" i="9" l="1"/>
  <c r="M148" i="9"/>
  <c r="L150" i="9" l="1"/>
  <c r="M149" i="9"/>
  <c r="M150" i="9" l="1"/>
  <c r="L151" i="9"/>
  <c r="M151" i="9" l="1"/>
  <c r="L152" i="9"/>
  <c r="M152" i="9" l="1"/>
  <c r="L153" i="9"/>
  <c r="L154" i="9" l="1"/>
  <c r="M153" i="9"/>
  <c r="M154" i="9" l="1"/>
  <c r="L155" i="9"/>
  <c r="M155" i="9" l="1"/>
  <c r="L156" i="9"/>
  <c r="L157" i="9" l="1"/>
  <c r="M156" i="9"/>
  <c r="L158" i="9" l="1"/>
  <c r="M157" i="9"/>
  <c r="M158" i="9" l="1"/>
  <c r="L159" i="9"/>
  <c r="M159" i="9" l="1"/>
  <c r="L160" i="9"/>
  <c r="L161" i="9" l="1"/>
  <c r="M160" i="9"/>
  <c r="L162" i="9" l="1"/>
  <c r="M161" i="9"/>
  <c r="M162" i="9" l="1"/>
  <c r="L163" i="9"/>
  <c r="M163" i="9" l="1"/>
  <c r="L164" i="9"/>
  <c r="L165" i="9" l="1"/>
  <c r="M164" i="9"/>
  <c r="L166" i="9" l="1"/>
  <c r="M165" i="9"/>
  <c r="M166" i="9" l="1"/>
  <c r="L167" i="9"/>
  <c r="M167" i="9" l="1"/>
  <c r="L168" i="9"/>
  <c r="L169" i="9" l="1"/>
  <c r="M168" i="9"/>
  <c r="L170" i="9" l="1"/>
  <c r="M169" i="9"/>
  <c r="M170" i="9" l="1"/>
  <c r="L171" i="9"/>
  <c r="M171" i="9" l="1"/>
  <c r="L172" i="9"/>
  <c r="L173" i="9" l="1"/>
  <c r="M172" i="9"/>
  <c r="L174" i="9" l="1"/>
  <c r="M173" i="9"/>
  <c r="M174" i="9" l="1"/>
  <c r="L175" i="9"/>
  <c r="L176" i="9" l="1"/>
  <c r="M175" i="9"/>
  <c r="M176" i="9" l="1"/>
  <c r="L177" i="9"/>
  <c r="M177" i="9" l="1"/>
  <c r="L178" i="9"/>
  <c r="M178" i="9" l="1"/>
  <c r="L179" i="9"/>
  <c r="M179" i="9" l="1"/>
  <c r="L180" i="9"/>
  <c r="L181" i="9" l="1"/>
  <c r="M180" i="9"/>
  <c r="L182" i="9" l="1"/>
  <c r="M181" i="9"/>
  <c r="M182" i="9" l="1"/>
  <c r="L183" i="9"/>
  <c r="M183" i="9" l="1"/>
  <c r="L184" i="9"/>
  <c r="L185" i="9" l="1"/>
  <c r="M184" i="9"/>
  <c r="L186" i="9" l="1"/>
  <c r="M185" i="9"/>
  <c r="M186" i="9" l="1"/>
  <c r="L187" i="9"/>
  <c r="M187" i="9" l="1"/>
  <c r="L188" i="9"/>
  <c r="M188" i="9" l="1"/>
  <c r="L189" i="9"/>
  <c r="L190" i="9" l="1"/>
  <c r="M189" i="9"/>
  <c r="M190" i="9" l="1"/>
  <c r="L191" i="9"/>
  <c r="M191" i="9" l="1"/>
  <c r="L192" i="9"/>
  <c r="L193" i="9" l="1"/>
  <c r="M192" i="9"/>
  <c r="L194" i="9" l="1"/>
  <c r="M193" i="9"/>
  <c r="M194" i="9" l="1"/>
  <c r="L195" i="9"/>
  <c r="M195" i="9" l="1"/>
  <c r="L196" i="9"/>
  <c r="L197" i="9" l="1"/>
  <c r="M196" i="9"/>
  <c r="L198" i="9" l="1"/>
  <c r="M197" i="9"/>
  <c r="M198" i="9" l="1"/>
  <c r="L199" i="9"/>
  <c r="L200" i="9" l="1"/>
  <c r="M199" i="9"/>
  <c r="L203" i="9" l="1"/>
  <c r="M203" i="9" s="1"/>
  <c r="M200" i="9"/>
</calcChain>
</file>

<file path=xl/sharedStrings.xml><?xml version="1.0" encoding="utf-8"?>
<sst xmlns="http://schemas.openxmlformats.org/spreadsheetml/2006/main" count="2168" uniqueCount="630">
  <si>
    <t>UNIDADE</t>
  </si>
  <si>
    <t xml:space="preserve">REFERÊNCIA </t>
  </si>
  <si>
    <t>ESGUICHO JATO REGULAVEL, TIPO ELKHART, ENGATE RAPIDO 2 1/2", PARA COMBATE A INCENDIO</t>
  </si>
  <si>
    <t>COTAÇÃO</t>
  </si>
  <si>
    <t>REGISTRO OU VALVULA GLOBO ANGULAR EM LATAO, PARA HIDRANTES EM INSTALACAO PREDIAL DE INCENDIO, 45 GRAUS, DIAMETRO DE 2 1/2", COM VOLANTE, CLASSE DE PRESSAO DE ATE 200 PSI</t>
  </si>
  <si>
    <t>SINAPI</t>
  </si>
  <si>
    <t>CAIXA DE INCENDIO/ABRIGO PARA MANGUEIRA, DE EMBUTIR/INTERNA, COM 90 X 60 X 17 CM, EM CHAPA DE ACO, PORTA COM VENTILACAO, VISOR COM A INSCRICAO "INCENDIO", SUPORTE/CESTA INTERNA PARA A MANGUEIRA, PINTURA ELETROSTATICA VERMELHA</t>
  </si>
  <si>
    <t xml:space="preserve">unid </t>
  </si>
  <si>
    <t>unid</t>
  </si>
  <si>
    <t>UNIAO TIPO STORZ, COM EMPATACAO INTERNA TIPO ANEL DE EXPANSAO, ENGATE RAPIDO 2 1/2", PARA MANGUEIRA DE COMBATE A INCENDIO PREDIAL</t>
  </si>
  <si>
    <t>CHAVE DUPLA PARA CONEXOES TIPO STORZ, ENGATE RAPIDO 1 1/2" X 2 1/2", EM LATAO, PARA INSTALACAO PREDIAL COMBATE A INCENDIO,</t>
  </si>
  <si>
    <t>TAMPÃO STORZ 2.1/2 " COM CORRENTE</t>
  </si>
  <si>
    <t xml:space="preserve">COTAÇÃO </t>
  </si>
  <si>
    <t>MANGUEIRA DE INCENDIO, TIPO 2, DE 2 1/2", COMPRIMENTO = 15 M, TECIDO EM FIO DE POLIESTER E TUBO INTERNO EM BORRACHA SINTETICA, COM UNIOES ENGATE RAPIDO</t>
  </si>
  <si>
    <t>MANGUEIRA DE INCENDIO, TIPO 2, DE 1 1/2", COMPRIMENTO = 15 M, TECIDO EM FIO DE POLIESTER E TUBO INTERNO EM BORRACHA SINTETICA, COM UNIOES ENGATE RAPIDO</t>
  </si>
  <si>
    <t>ESGUICHO JATO REGULAVEL, TIPO ELKHART, ENGATE RAPIDO 1 1/2", PARA COMBATE A INCENDIO</t>
  </si>
  <si>
    <t>metros</t>
  </si>
  <si>
    <t xml:space="preserve">SPK PENDENTE K8 ( K115) RESPOSTA RÁPIDA - INTERMEDIÁRIO </t>
  </si>
  <si>
    <t xml:space="preserve">metros </t>
  </si>
  <si>
    <t>BUCHA DE REDUCAO DE FERRO GALVANIZADO, COM ROSCA BSP, DE 1" X 3/4"</t>
  </si>
  <si>
    <t xml:space="preserve">DESCRIÇÃO </t>
  </si>
  <si>
    <t xml:space="preserve">SPK PENDENTE K11 ( K160) RESPOSTA PADRÃO - COBERTURA </t>
  </si>
  <si>
    <t>WasteCone 6"x8"</t>
  </si>
  <si>
    <t xml:space="preserve">TANQUE ÓLEO DIESEL </t>
  </si>
  <si>
    <t>JUNTA DE EXPANSÃO 8"</t>
  </si>
  <si>
    <t xml:space="preserve">PLACA ANTIVORTICE 120mm x 120mm </t>
  </si>
  <si>
    <t xml:space="preserve">VALVULA DE ALÍVIO 6" </t>
  </si>
  <si>
    <t>MEDIDO DE VAZÃO (FLOW METER) 8"</t>
  </si>
  <si>
    <t xml:space="preserve">PAINEL CONTROLADOR DA BOMBA PRINCIPAL </t>
  </si>
  <si>
    <t>PAINEL CONTROLADOR BOMBA JOCKEY</t>
  </si>
  <si>
    <t xml:space="preserve">VALVULA GAVETA  OS&amp;Y DIAM 8", HASTE ASCENDENTE, CORPO EM FERRO FUNDIDO, EXTREMIDADES FLANGEADAS ANSI B 16.5, 150 LIBRAS </t>
  </si>
  <si>
    <t>VALVULA DE RETENÇÃO 8"</t>
  </si>
  <si>
    <t>REDUÇÃO PARA SOLDA BISELADA, DIAMETRO 8" X 6"</t>
  </si>
  <si>
    <t xml:space="preserve">VALVULA DE RETENÇÃO 1/2" COM ORIFICIO DE 3,00MMM PARA AUTOMAÇÃO </t>
  </si>
  <si>
    <t xml:space="preserve">VALVULA GLOBO 1/2" DE AUTOMAÇÃO </t>
  </si>
  <si>
    <t xml:space="preserve">VALVULA DE ALIVIO 3/4"  ARREFECIMENTO DAS BOMBAS </t>
  </si>
  <si>
    <t xml:space="preserve">BATERIA DO SISTEMA DE ALARME </t>
  </si>
  <si>
    <t>PROTETOR DE SURTO AC - PKE 220/127</t>
  </si>
  <si>
    <t>PROTETOR DE SURTO DC - MPD 590</t>
  </si>
  <si>
    <t>SIRENE VIP STROBE - L24 VERMELHA</t>
  </si>
  <si>
    <t>EXTINTOR SOBRE RODAS PQS 20KG-30BC</t>
  </si>
  <si>
    <t>SINAL FOT. E7 ABRIGO DE MANGUEIRA 200X200</t>
  </si>
  <si>
    <t>SINAL FOT. E8 `H` HIDRANTE DE INCENDIO 200X200</t>
  </si>
  <si>
    <t>SINAL ADESIVA TIPO LACRE PARA HIDRANTE</t>
  </si>
  <si>
    <t>SINAL FOT. E2 COMANDO MANUAL ALARME 150X200</t>
  </si>
  <si>
    <t>SINAL FOT. E5 EXTINTOR DE INCENDIO 200x200</t>
  </si>
  <si>
    <t>SINAL FOT. S12 INDICAÇÃO DE SAIDA 200X100</t>
  </si>
  <si>
    <t>SINAL FOT. S1 ROTA DE SAIDA `À DIREITA` 380x180</t>
  </si>
  <si>
    <t>SINAL FOT. S2 ROTA DE SAIDA `À ESQUERDA`380x180</t>
  </si>
  <si>
    <t>SINAL FOT. S3 ROTA DE SAIDA `SEGUIR ADIANTE CIMA` 380x180</t>
  </si>
  <si>
    <t>SINAL FOT. S9 ACESSO ESCADA ESQUERDA `DESCER` 200X100</t>
  </si>
  <si>
    <t>ITEM</t>
  </si>
  <si>
    <t>MATERIAL</t>
  </si>
  <si>
    <t>MÃO DE OBRA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</si>
  <si>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</si>
  <si>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</si>
  <si>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</si>
  <si>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</si>
  <si>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</si>
  <si>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</si>
  <si>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</si>
  <si>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</si>
  <si>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</si>
  <si>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</si>
  <si>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</si>
  <si>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</si>
  <si>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</si>
  <si>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</si>
  <si>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</si>
  <si>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</si>
  <si>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</si>
  <si>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</si>
  <si>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1.10</t>
  </si>
  <si>
    <t>5.1</t>
  </si>
  <si>
    <t>5.2</t>
  </si>
  <si>
    <t>5.3</t>
  </si>
  <si>
    <t>5.4</t>
  </si>
  <si>
    <t>5.5</t>
  </si>
  <si>
    <t>5.6</t>
  </si>
  <si>
    <t>5.7</t>
  </si>
  <si>
    <t>4.1</t>
  </si>
  <si>
    <t>4.3</t>
  </si>
  <si>
    <t>4.4</t>
  </si>
  <si>
    <t>4.5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</si>
  <si>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</si>
  <si>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</si>
  <si>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</si>
  <si>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</si>
  <si>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</si>
  <si>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</si>
  <si>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</si>
  <si>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</si>
  <si>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</si>
  <si>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</si>
  <si>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</si>
  <si>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</si>
  <si>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</si>
  <si>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</si>
  <si>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</si>
  <si>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3.1</t>
  </si>
  <si>
    <t>3.2</t>
  </si>
  <si>
    <t>3.3</t>
  </si>
  <si>
    <t>3.4</t>
  </si>
  <si>
    <t>3.5</t>
  </si>
  <si>
    <t>3.6</t>
  </si>
  <si>
    <t>3.7</t>
  </si>
  <si>
    <t>4.2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</si>
  <si>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</si>
  <si>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</si>
  <si>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</si>
  <si>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</si>
  <si>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</si>
  <si>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</si>
  <si>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</si>
  <si>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</si>
  <si>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</si>
  <si>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</si>
  <si>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</si>
  <si>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</si>
  <si>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</si>
  <si>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</si>
  <si>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</si>
  <si>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</si>
  <si>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</si>
  <si>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</si>
  <si>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</si>
  <si>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</si>
  <si>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</si>
  <si>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</si>
  <si>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</si>
  <si>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</si>
  <si>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</si>
  <si>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</si>
  <si>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</si>
  <si>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</si>
  <si>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</si>
  <si>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</si>
  <si>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</si>
  <si>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</si>
  <si>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</si>
  <si>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PREÇO UNITÁRIO</t>
  </si>
  <si>
    <t>TOTAL DE MATERIAL SINALIZAÇÃO DE EMERGÊNCIA</t>
  </si>
  <si>
    <t>TOTAL DE MATERIAIS ALARME DE INCÊNDIO</t>
  </si>
  <si>
    <t>2.25</t>
  </si>
  <si>
    <t>2.26</t>
  </si>
  <si>
    <t>2.27</t>
  </si>
  <si>
    <t>2.28</t>
  </si>
  <si>
    <t>2.29</t>
  </si>
  <si>
    <t>QTDE NECESSÁRIA</t>
  </si>
  <si>
    <t>6.6</t>
  </si>
  <si>
    <t>6.7</t>
  </si>
  <si>
    <t>MANUTENÇÃO DE 3° NÍVEL E RECARGA DE EXTINTOR PORT PQS 4KG</t>
  </si>
  <si>
    <t>MANUTENÇÃO DE 3° NÍVEL E RECARGA DE EXTINTOR PORT CO2 6KG</t>
  </si>
  <si>
    <t>TESTE, INSPEÇÃO  E MANUTENÇÃO DE MANGUEIRAS CONFORME NBR 127779</t>
  </si>
  <si>
    <t>QTD NOVO</t>
  </si>
  <si>
    <t>BUCHA DE NYLON, DIAMETRO DO FURO 8 MM, COMPRIMENTO 40 MM, COM PARAFUSO DE ROSCA SOBERBA, CABECA CHATA, FENDA SIMPLES, 4,8 X 50 MM</t>
  </si>
  <si>
    <t>EXTINTOR DE INCENDIO PORTATIL COM CARGA DE PO QUIMICO SECO (PQS) DE 4 KG, CLASSE BC</t>
  </si>
  <si>
    <t>ENCANADOR OU BOMBEIRO HIDRÁULICO COM ENCARGOS COMPLEMENTARES</t>
  </si>
  <si>
    <t>SERVENTE COM ENCARGOS COMPLEMENTARES</t>
  </si>
  <si>
    <t>H</t>
  </si>
  <si>
    <t>QTD EXISTENTE</t>
  </si>
  <si>
    <t>TOTAL</t>
  </si>
  <si>
    <t>EXTINTOR DE INCENDIO PORTATIL COM CARGA DE AGUA PRESSURIZADA DE 10 L, CLASSE A</t>
  </si>
  <si>
    <t>PEDREIRO COM ENCARGOS COMPLEMENTARES</t>
  </si>
  <si>
    <t xml:space="preserve">BUCHA DE NYLON, DIAMETRO DO FURO 8 MM, COMPRIMENTO 40 MM, COM PARAFUSO DE ROSCA SOBERBA, CABECA </t>
  </si>
  <si>
    <t>EXTINTOR DE INCENDIO PORTATIL COM CARGA DE GAS CARBONICO CO2 DE 6 KG, CLASSE BC</t>
  </si>
  <si>
    <t>TOTAL  EXTINTORES DE INCÊNDIO</t>
  </si>
  <si>
    <t>SUPORTE DE EXTINTOR  DE PAREDE</t>
  </si>
  <si>
    <t>CAIXA DE INCENDIO/ABRIGO PARA MANGUEIRA, DE EMBUTIR/INTERNA, COM 120 X 60 X 17 CM, EM CHAPA DE ACO, PORTA COM VENTILACAO, VISOR COM A INSCRICAO "INCENDIO", SUPORTE/CESTA INTERNA PARA A MANGUEIRA, PINTURA ELETROSTATICA VERMELHA</t>
  </si>
  <si>
    <t>ABRIGO DE HIDRANTE DUPLO SOBREPOR 120X90X30 -FORNECIMENTO E INSTALAÇÃO</t>
  </si>
  <si>
    <t>ABRIGO DE HIDRANTE SOBREPOR 90X60X17 -FORNECIMENTO E INSTALAÇÃO</t>
  </si>
  <si>
    <t>REGISTRO DE  RECALQUE SIMPLES</t>
  </si>
  <si>
    <t>LUVA DE REDUCAO DE FERRO GALVANIZADO, COM ROSCA BSP, DE 4" X 2 1/2"</t>
  </si>
  <si>
    <t>COTOVELO 90 GRAUS DE FERRO GALVANIZADO, COM ROSCA BSP, DE 2 1/2"</t>
  </si>
  <si>
    <t>VALVULA DE RETENCAO VERTICAL, DE BRONZE (PN-16), 2 1/2", 200 PSI, EXTREMIDADES COM ROSCA</t>
  </si>
  <si>
    <t>TUBO ACO GALVANIZADO COM COSTURA, CLASSE MEDIA, DN 4", E = 4,50* MM, PESO 12,10* KG/M (NBR 5580)</t>
  </si>
  <si>
    <t>COTOVELO 90 GRAUS DE FERRO GALVANIZADO, COM ROSCA BSP, DE 4"</t>
  </si>
  <si>
    <t>TE DE FERRO GALVANIZADO, DE 2 1/2"</t>
  </si>
  <si>
    <t>TE DE FERRO GALVANIZADO, DE 4"</t>
  </si>
  <si>
    <t>TUBO ACO GALVANIZADO COM COSTURA, CLASSE MEDIA, DN 2.1/2", E = *3,65* MM, PESO *6,51* KG/M (NBR 5580)</t>
  </si>
  <si>
    <t>AUXILIAR DE ENCANADOR OU BOMBEIRO HIDRÁULICO COM ENCARGOS COMPLEMENTARES</t>
  </si>
  <si>
    <t>COTOVELO DE AÇO GALVANIZADO 4" - FORNECIMENTO E INSTALAÇÃO</t>
  </si>
  <si>
    <t>LUVA REDUCAO ACO GALVANIZADO 4X2.1/2" - FORNECIMENTO E INSTALACAO</t>
  </si>
  <si>
    <t>FITA VEDA ROSCA EM ROLOS DE 18 MM X 50 M (L X C)</t>
  </si>
  <si>
    <t>FUNDO ANTICORROSIVO PARA METAIS FERROSOS (ZARCAO)</t>
  </si>
  <si>
    <t>L</t>
  </si>
  <si>
    <t>TE DE ACO GALVANIZADO 4" - FORNECIMENTO E INSTALACAO</t>
  </si>
  <si>
    <t>EXTINTOR DE CO2 6KG - FORNECIMENTO E INSTALACAO</t>
  </si>
  <si>
    <t>73775/2</t>
  </si>
  <si>
    <t>EXTINTOR INCENDIO AGUA-PRESSURIZADA 10L INCL SUPORTE PAREDE CARGA     COMPLETA FORNECIMENTO E COLOCAÇÃO</t>
  </si>
  <si>
    <t>EXTINTOR DE PQS 4KG - FORNECIMENTO E INSTALACAO</t>
  </si>
  <si>
    <t>TUBO ACO GALVANIZADO COM COSTURA, CLASSE MEDIA, DN 1", E = 3,38 MM, PESO 2,50 KG/M (NBR 5580)</t>
  </si>
  <si>
    <t>TUBO ACO GALVANIZADO COM COSTURA, CLASSE MEDIA, DN 1.1/4", E = *3,25* MM, PESO *3,14* KG/M (NBR 5580)</t>
  </si>
  <si>
    <t>TUBO ACO GALVANIZADO COM COSTURA, CLASSE MEDIA, DN 1.1/2", E = *3,25* MM, PESO *3,61* KG/M (NBR 5580)</t>
  </si>
  <si>
    <t>TUBO ACO GALVANIZADO COM COSTURA, CLASSE MEDIA, DN 2", E = *3,65* MM, PESO *5,10* KG/M (NBR 5580)</t>
  </si>
  <si>
    <t>TUBO ACO GALVANIZADO COM COSTURA, CLASSE MEDIA, DN 6", E = 4,85* MM, PESO 19,68* KG/M (NBR 5580)</t>
  </si>
  <si>
    <t>JOELHO 90 GRAUS, EM FERRO GALVANIZADO, CONEXÃO ROSQUEADA, DN 25 (1"), INSTALADO EM REDE DE ALIMENTAÇÃO PARA SPRINKLER - FORNECIMENTO E INSTALAÇÃO. AF_12/2015</t>
  </si>
  <si>
    <t>COTOVELO 45 GRAUS DE FERRO GALVANIZADO, COM ROSCA BSP, DE 1"</t>
  </si>
  <si>
    <t>COTOVELO 90 GRAUS DE FERRO GALVANIZADO, COM ROSCA BSP, DE 1 1/4"</t>
  </si>
  <si>
    <t>TE DE FERRO GALVANIZADO, DE 1"</t>
  </si>
  <si>
    <t>REGISTRO DE  RECALQUE DUPLO</t>
  </si>
  <si>
    <t>TE DE REDUCAO DE   1"X3/4"</t>
  </si>
  <si>
    <t>TE DE REDUCAO DE   1.1/2"X3/4"</t>
  </si>
  <si>
    <t>TE DE REDUCAO DE   2"X1"</t>
  </si>
  <si>
    <t>TE DE REDUCAO   2.1/2"X1"</t>
  </si>
  <si>
    <t>TE DE REDUCAO  DE 4" X 2"</t>
  </si>
  <si>
    <t>TE DE REDUCAO  DE 4" X 2.1/2"</t>
  </si>
  <si>
    <t>TE DE REDUCAO  DE 2.1/2" X 2"</t>
  </si>
  <si>
    <t>TE DE REDUCAO DE FERRO GALVANIZADO, COM ROSCA BSP, DE 1" X 3/4"</t>
  </si>
  <si>
    <t>TE DE REDUCAO DE FERRO GALVANIZADO, COM ROSCA BSP, DE 1 1/2" X 3/4"</t>
  </si>
  <si>
    <t>TE DE REDUCAO DE FERRO GALVANIZADO, COM ROSCA BSP, DE 2" X 1"</t>
  </si>
  <si>
    <t>TE DE REDUCAO DE FERRO GALVANIZADO, COM ROSCA BSP, DE 2 1/2" X 1"</t>
  </si>
  <si>
    <t>TE DE REDUCAO DE FERRO GALVANIZADO, COM ROSCA BSP, DE 4" X 2"</t>
  </si>
  <si>
    <t>TE DE FERRO GALVANIZADO DE 4" X 2.1/2" X4"</t>
  </si>
  <si>
    <t>TE DE REDUCAO DE FERRO GALVANIZADO, COM ROSCA BSP, DE 2 1/2" X 2"</t>
  </si>
  <si>
    <t>COTOVELO DE REDUCAO 90 GRAUS DE FERRO GALVANIZADO, COM ROSCA BSP, DE 1" X 3/4"</t>
  </si>
  <si>
    <t>COTOVELO DE REDUCAO 90 GRAUS DE FERRO GALVANIZADO, COM ROSCA BSP, DE 2" X 1.1/2"</t>
  </si>
  <si>
    <t>COTOVELO 90 GRAUS,DE REDUÇÃO EM FERRO GALVANIZADO, CONEXÃO ROSQUEADA, 2"X1.1/2", INSTALADO EM REDE DE ALIMENTAÇÃO PARA SPRINKLER - FORNECIMENTO E INSTALAÇÃO</t>
  </si>
  <si>
    <t xml:space="preserve">COTOVELO DE 90 GRAUS, DE REDUÇÃO EM FERRO GALVANIZADO, CONEXÃO ROSQUEADA, 1"X3/4", INSTALADO EM REDE DE ALIMENTAÇÃO PARA SPRINKLER - FORNECIMENTO E INSTALAÇÃO. </t>
  </si>
  <si>
    <t>COTOVELO 90 GRAUS DE FERRO GALVANIZADO, DE REDUÇÃO  COM ROSCA BSP, DE 4"X2.1/2"</t>
  </si>
  <si>
    <t>INFRAESTRUTURA PARA ALARME</t>
  </si>
  <si>
    <t>5.8</t>
  </si>
  <si>
    <t>VALVULA DE GOVERNO FLANG 4'' - COMPL - NBR-FORNCECIMENTO E INSTALAÇÃO</t>
  </si>
  <si>
    <t>VALVULA BORBOLETA FLANGEADA C/ CAIXA RED. 4'' -FORNCECIMENTO E INSTALAÇÃO</t>
  </si>
  <si>
    <t>VALVULA DE GOVERNO FLANG 6'' - COMPL - NBR-FORNCECIMENTO E INSTALAÇÃO</t>
  </si>
  <si>
    <t>VALVULA BORBOLETA FLANGEADA C/ CAIXA RED. 6'' -CL 150-FORNCECIMENTO E INSTALAÇÃO</t>
  </si>
  <si>
    <t>Bomba jockey vazão 20 L/min (1,20m³/h) e pressão 104 mca-FORNCECIMENTO E INSTALAÇÃO</t>
  </si>
  <si>
    <t>Bomba jockey vazão 20 L/min (1,20m³/h) e pressão 94 mca-FORNCECIMENTO E INSTALAÇÃO</t>
  </si>
  <si>
    <t>Bomba elétrica vazão 110m³/h pressão 94mca- hidrantes -FORNCECIMENTO E INSTALAÇÃO</t>
  </si>
  <si>
    <t>VÁLVULA DE RETENÇÃO HORIZONTAL, DE BRONZE, ROSCÁVEL, 3/4" - FORNECIMENTO E INSTALAÇÃO. AF_01/2019</t>
  </si>
  <si>
    <t>REGISTRO DE GAVETA BRUTO, LATÃO, ROSCÁVEL, 3/4", FORNECIDO E INSTALADO EM RAMAL DE ÁGUA. AF_12/2014</t>
  </si>
  <si>
    <t>TUBO ACO GALVANIZADO COM COSTURA, CLASSE LEVE, DN 20 MM ( 3/4"),  E = 2,25 MM,  *1,3* KG/M (NBR 5580)</t>
  </si>
  <si>
    <t xml:space="preserve">TUBO AÇO GALVANIZADO  COM COSTURA, NBR 5580, CLASSE L, DN = 100MM </t>
  </si>
  <si>
    <t xml:space="preserve">TUBO AÇO GALVANIZADO  COM COSTURA, NBR 5580, CLASSE L, DN = 150MM </t>
  </si>
  <si>
    <t>COTOVELO 90 GRAUS AÇO GALVANIZADO , REDUÇÃO 2.1/2" X 2"</t>
  </si>
  <si>
    <t>COTOVELO 90 GRAUS AÇO GALVANIZADO , REDUÇÃO 4" X 2"</t>
  </si>
  <si>
    <t>COTOVELO 90 GRAUS AÇO GALVANIZADO , REDUÇÃO 4" X 2.1/2"</t>
  </si>
  <si>
    <t>CURVA 90 GRAUS EM ACO GALVANIZADO , RAIO CURTO, SOLDAVEL, PRESSAO 3.000 LBS, DN 8" -FORNCECIMENTO E INSTALAÇÃO</t>
  </si>
  <si>
    <t>VALVULA ESFERA AÇO GALVANIZADO   1.1/4" - FORCECIMENTO E INSTALAÇÃO</t>
  </si>
  <si>
    <t>DETECTOR DE FUM END. DFE 520 - INTELBRAS OU SIMILAR</t>
  </si>
  <si>
    <t>CENTRAL DE ALARME END. CIE 1-125 - INTELBRAS OU SIMILAR</t>
  </si>
  <si>
    <t>ACIONADOR MANUAL END. AME520 - INTELBRAS OU SIMILAR</t>
  </si>
  <si>
    <t>SITEMA</t>
  </si>
  <si>
    <t>DESCRIÇÃO</t>
  </si>
  <si>
    <t>QTD DE FRENTE DE SERVIÇO  SIMULTÂNEA</t>
  </si>
  <si>
    <t>TEMPO DA ATIVIDADE [HORAS]</t>
  </si>
  <si>
    <t>SEMANA2</t>
  </si>
  <si>
    <t>QTD DIAS</t>
  </si>
  <si>
    <t>HORÁRIO DE TRABALHO /DIA</t>
  </si>
  <si>
    <t>QTD DE SEMANAS</t>
  </si>
  <si>
    <t>SEMANA3</t>
  </si>
  <si>
    <t>SEMANA4</t>
  </si>
  <si>
    <t>SEMANA5</t>
  </si>
  <si>
    <t>SEMANA6</t>
  </si>
  <si>
    <t>SEMANA7</t>
  </si>
  <si>
    <t>SEMANA8</t>
  </si>
  <si>
    <t>SEMANA9</t>
  </si>
  <si>
    <t>SEMANA10</t>
  </si>
  <si>
    <t>SEMANA11</t>
  </si>
  <si>
    <t>SEMANA12</t>
  </si>
  <si>
    <t>SEMANA13</t>
  </si>
  <si>
    <t>SEMANA14</t>
  </si>
  <si>
    <t>SEMANA15</t>
  </si>
  <si>
    <t>SEMANA ACUMULADO</t>
  </si>
  <si>
    <t>SEMANA16</t>
  </si>
  <si>
    <t>SEMANA17</t>
  </si>
  <si>
    <t>SEMANA18</t>
  </si>
  <si>
    <t>SEMANA19</t>
  </si>
  <si>
    <t>SEMANA20</t>
  </si>
  <si>
    <t>SEMANA21</t>
  </si>
  <si>
    <t>SEMANA22</t>
  </si>
  <si>
    <t>SEMANA23</t>
  </si>
  <si>
    <t>SEMANA24</t>
  </si>
  <si>
    <t>SEMANA25</t>
  </si>
  <si>
    <t>SEMANA26</t>
  </si>
  <si>
    <t>SEMANA27</t>
  </si>
  <si>
    <t>SEMANA28</t>
  </si>
  <si>
    <t>SEMANA29</t>
  </si>
  <si>
    <t>SEMANA30</t>
  </si>
  <si>
    <t>SEMANA31</t>
  </si>
  <si>
    <t>SEMANA32</t>
  </si>
  <si>
    <t>SEMANA33</t>
  </si>
  <si>
    <t>SEMANA34</t>
  </si>
  <si>
    <t>SEMANA35</t>
  </si>
  <si>
    <t>SEMANA36</t>
  </si>
  <si>
    <t>SEMANA37</t>
  </si>
  <si>
    <t>SEMANA38</t>
  </si>
  <si>
    <t>SEMANA39</t>
  </si>
  <si>
    <t>SEMANA40</t>
  </si>
  <si>
    <t>SEMANA41</t>
  </si>
  <si>
    <t>SEMANA42</t>
  </si>
  <si>
    <t>SEMANA43</t>
  </si>
  <si>
    <t>SEMANA44</t>
  </si>
  <si>
    <t>SEMANA45</t>
  </si>
  <si>
    <t>SEMANA46</t>
  </si>
  <si>
    <t>SEMANA47</t>
  </si>
  <si>
    <t>SEMANA48</t>
  </si>
  <si>
    <t>SEMANA49</t>
  </si>
  <si>
    <t>SEMANA50</t>
  </si>
  <si>
    <t>SEMANA51</t>
  </si>
  <si>
    <t>SEMANA52</t>
  </si>
  <si>
    <t>SEMANA53</t>
  </si>
  <si>
    <t>SEMANA54</t>
  </si>
  <si>
    <t>SEMANA55</t>
  </si>
  <si>
    <t>SEMANA56</t>
  </si>
  <si>
    <t>SEMANA57</t>
  </si>
  <si>
    <t>SEMANA58</t>
  </si>
  <si>
    <t>SEMANA59</t>
  </si>
  <si>
    <t>SEMANA60</t>
  </si>
  <si>
    <t>SEMANA61</t>
  </si>
  <si>
    <t>SEMANA62</t>
  </si>
  <si>
    <t>SEMANA63</t>
  </si>
  <si>
    <t>SEMANA64</t>
  </si>
  <si>
    <t>SEMANA65</t>
  </si>
  <si>
    <t>SEMANA66</t>
  </si>
  <si>
    <t>SEMANA67</t>
  </si>
  <si>
    <t>EQUAÇÃO DO CÁLCULO DO BDI CONFORME ITEM 1.3.6.4-DE ACORDO COM A JURISPRUDÊNCIA DO TCU</t>
  </si>
  <si>
    <t>ONDE:</t>
  </si>
  <si>
    <t>AC=</t>
  </si>
  <si>
    <t>R=</t>
  </si>
  <si>
    <t>DF=</t>
  </si>
  <si>
    <t>L=</t>
  </si>
  <si>
    <t>I=</t>
  </si>
  <si>
    <t>TAXA DE RATEIO DA ADMINISTRAÇÃO CENTRAL</t>
  </si>
  <si>
    <t>RISCOS</t>
  </si>
  <si>
    <t>DESPESA FINANCEIRA</t>
  </si>
  <si>
    <t>LUCRO</t>
  </si>
  <si>
    <t>TRIBUTOS(PIS,COFINS,CPRB E ISS)</t>
  </si>
  <si>
    <t>REFERÊNCIA</t>
  </si>
  <si>
    <t>S+G</t>
  </si>
  <si>
    <t>TAXA DE SEGURO+ ÔNUS DAS GARANTIAS EXIGIDAS EM EDITAL</t>
  </si>
  <si>
    <t>DIRETRIZ PB (acórdão nº. 2.622/2013 )-CONSTRUÇÃO DE EDIFÍCIOS</t>
  </si>
  <si>
    <t>1°QUARTIL</t>
  </si>
  <si>
    <t>3°QUARTIL</t>
  </si>
  <si>
    <t>MÉDIO</t>
  </si>
  <si>
    <t>DIRETRIZ PB (acórdão nº. 2.622/2013 );Termos da Súmula TCU n. 254/2010</t>
  </si>
  <si>
    <t>ISS</t>
  </si>
  <si>
    <t>CPRB</t>
  </si>
  <si>
    <t>CONFINS</t>
  </si>
  <si>
    <t>Art. 8º, inciso II, da LC n. 116/2003 ;Art. 88 do Ato das Disposições Constitucionais Transitórias;Atualizada até a Instrução Normativa SF/SUREM nº 23, de 22 de dezembro de 2017</t>
  </si>
  <si>
    <t>PIS</t>
  </si>
  <si>
    <t>TOTAL TRIBUTOS</t>
  </si>
  <si>
    <t>BDI</t>
  </si>
  <si>
    <t>BDI SERVIÇO</t>
  </si>
  <si>
    <t>BDI MATERIAL</t>
  </si>
  <si>
    <t>PREÇO TOTAL</t>
  </si>
  <si>
    <t>ITEM DA PLANILHA</t>
  </si>
  <si>
    <t xml:space="preserve">PROJETOS </t>
  </si>
  <si>
    <t>PROJETO EXECUTIVO</t>
  </si>
  <si>
    <t>P1</t>
  </si>
  <si>
    <t>PROJETO EXECUTIVO DO SISTEMA DE PROTEÇÃO E COMABTE A INCENDIO</t>
  </si>
  <si>
    <t>m²</t>
  </si>
  <si>
    <t>COMISSIONAMENTO</t>
  </si>
  <si>
    <t xml:space="preserve">ENGENHEIRO CIVIL </t>
  </si>
  <si>
    <t>C1</t>
  </si>
  <si>
    <t>C1.1</t>
  </si>
  <si>
    <t>C1.2</t>
  </si>
  <si>
    <t>C1.3</t>
  </si>
  <si>
    <t>COMISSIONAMENTO DO SISTEMA DE ALARME</t>
  </si>
  <si>
    <t>COMISSIONAMENTO DO SISTEMA DE CHUVEIROS AUTOMÁTICOS</t>
  </si>
  <si>
    <t>ELETROTÉCNICO</t>
  </si>
  <si>
    <t>C2</t>
  </si>
  <si>
    <t>C2.1</t>
  </si>
  <si>
    <t>C2.2</t>
  </si>
  <si>
    <t>C2.3</t>
  </si>
  <si>
    <t>C3</t>
  </si>
  <si>
    <t>C3.1</t>
  </si>
  <si>
    <t>C3.2</t>
  </si>
  <si>
    <t>C3.3</t>
  </si>
  <si>
    <t>TREINAMENTO</t>
  </si>
  <si>
    <t>TREINAMENTO DE FORMAÇÃO DE BRIGADA DE INCÊNDIO NÍVEL AVANÇADO</t>
  </si>
  <si>
    <t>T1</t>
  </si>
  <si>
    <t>ASBUILT</t>
  </si>
  <si>
    <t>P2</t>
  </si>
  <si>
    <t>PROJETO AS BUILT</t>
  </si>
  <si>
    <t>M²</t>
  </si>
  <si>
    <t>INSTALAÇÃO-SISTEMA DE HIDRANTES</t>
  </si>
  <si>
    <t>INSTALAÇÃO-SISTEMA DECHUVEIROS AUTOMÁTICOS</t>
  </si>
  <si>
    <t xml:space="preserve">INSTALAÇÃO-REDE GERAL </t>
  </si>
  <si>
    <t>INSTALAÇÃO-CASA DE BOMBAS</t>
  </si>
  <si>
    <t>INSTALAÇÃO-SISTEMA DE ALARME DE INCÊNDIO</t>
  </si>
  <si>
    <t>INSTALAÇÃO-EXTINTORES DE INCÊNDIO</t>
  </si>
  <si>
    <t>INSTALAÇÃO-SINALIZAÇÃO DE EMERGÊNCIA</t>
  </si>
  <si>
    <t>SEMANA68</t>
  </si>
  <si>
    <t>SEMANA69</t>
  </si>
  <si>
    <t>SEMANA70</t>
  </si>
  <si>
    <t>SEMANA71</t>
  </si>
  <si>
    <t>SEMANA72</t>
  </si>
  <si>
    <t>SEMANA1</t>
  </si>
  <si>
    <t>SEMANA73</t>
  </si>
  <si>
    <t>SEMANA74</t>
  </si>
  <si>
    <t>SEMANA75</t>
  </si>
  <si>
    <t>SEMANA76</t>
  </si>
  <si>
    <t>SEMANA77</t>
  </si>
  <si>
    <t>INSTALAÇÃO-REDE GERAL</t>
  </si>
  <si>
    <t>INSTALAÇÃO-EXTINTOR DE INCÊNDIO</t>
  </si>
  <si>
    <t>INSTALAÇÃO-SISTEMA DE SINALIZAÇÃO DE EMERGÊNCIA</t>
  </si>
  <si>
    <t>TE 90 GRAUS EM ACO ,  DN 8"-FORNCECIMENTO E INSTALAÇÃO</t>
  </si>
  <si>
    <t>TUBO AÇO  COM COSTURA, NBR 5590, SCH 40, DN = 200MM -FORNCECIMENTO E INSTALAÇÃO</t>
  </si>
  <si>
    <t>INSTALAÇÃO-SISTEMA DE CHUVEIROS AUTOMÁTICOS VGA-1</t>
  </si>
  <si>
    <t>INSTALAÇÃO-SISTEMA DE CHUVEIROS AUTOMÁTICOS VGA-2</t>
  </si>
  <si>
    <t>INSTALAÇÃO-SISTEMA DE CHUVEIROS AUTOMÁTICOS VGA-3</t>
  </si>
  <si>
    <t>INSTALAÇÃO-SISTEMA DE CHUVEIROS AUTOMÁTICOS VGA-4</t>
  </si>
  <si>
    <t>CASA DE MÁQUINAS</t>
  </si>
  <si>
    <t>8.1</t>
  </si>
  <si>
    <t xml:space="preserve">APROVEITAMENTO DA CASA DE MÁQUINAS EXISTENTE </t>
  </si>
  <si>
    <t>INSTALAÇÃO-RESERVATÓRIO DO SISTEMA DE CHUVEIROS AUTOMÁTICOS</t>
  </si>
  <si>
    <t>SEMANA78</t>
  </si>
  <si>
    <t>SEMANA79</t>
  </si>
  <si>
    <t>SEMANA80</t>
  </si>
  <si>
    <t>SEMANA81</t>
  </si>
  <si>
    <t>SEMANA82</t>
  </si>
  <si>
    <t>SEMANA83</t>
  </si>
  <si>
    <t>SEMANA84</t>
  </si>
  <si>
    <t>SEMANA85</t>
  </si>
  <si>
    <t>2.30</t>
  </si>
  <si>
    <t>ITEM CRONOGRAMA</t>
  </si>
  <si>
    <t xml:space="preserve">Projeto Executivo </t>
  </si>
  <si>
    <t xml:space="preserve">Instalação de Sistema de Hidrantes </t>
  </si>
  <si>
    <t xml:space="preserve">Instalação de Sistema de Chuveiros Automáticos </t>
  </si>
  <si>
    <t xml:space="preserve">Instalação Rede Geral </t>
  </si>
  <si>
    <t>Instalação Casa de Bombas</t>
  </si>
  <si>
    <t xml:space="preserve">Instalação de Sistema de Alarme de Incêndio </t>
  </si>
  <si>
    <t xml:space="preserve">Instalação de Extintor de Incêndio </t>
  </si>
  <si>
    <t>Instalação Sistema de Sinalização de Emergência</t>
  </si>
  <si>
    <t xml:space="preserve">As built </t>
  </si>
  <si>
    <t>Instalação do reservatório do sistema de chuveiros automáticos</t>
  </si>
  <si>
    <t>TOTAL POR SISTEMA</t>
  </si>
  <si>
    <t>-</t>
  </si>
  <si>
    <t>COTOVELO 90 GRAUS DE FERRO GALVANIZADO,   COM ROSCA BSP, DE 4"</t>
  </si>
  <si>
    <t>m</t>
  </si>
  <si>
    <t>SEMANA86</t>
  </si>
  <si>
    <t>COMISSIONAMENTO DO SISTEMA DE HIDRANTES</t>
  </si>
  <si>
    <t>SOLDADOR COM ENCARGOS COMPLEMENTARES</t>
  </si>
  <si>
    <t>CHAPA DE ACO GROSSA, ASTM A36, E = 3/8 " (9,53 MM) 74,69 KG/M2  1,2 x 1,2 x 3/8"</t>
  </si>
  <si>
    <t>kg</t>
  </si>
  <si>
    <t xml:space="preserve">CANTONEIRA ACO ABAS IGUAIS (QUALQUER BITOLA), ESPESSURA ENTRE  3"x1/4" </t>
  </si>
  <si>
    <t>CABO SHIELD 2X1,5MM VERMELHO</t>
  </si>
  <si>
    <t>ELETRODUTO/CONDULETE DE PVC RIGIDO, LISO, COR CINZA, DE 3/4", PARA INSTALACOES APARENTES (NBR 5410)</t>
  </si>
  <si>
    <t>FIO DE COBRE, SOLIDO, CLASSE 1, ISOLACAO EM PVC/A, ANTICHAMA BWF-B, 450/750V, SECAO NOMINAL 1,5 MM2</t>
  </si>
  <si>
    <t>ABRACADEIRA EM ACO PARA AMARRACAO DE ELETRODUTOS, TIPO D, COM 3/4" E CUNHA DE FIXACAO</t>
  </si>
  <si>
    <t>CURVA 90 GRAUS, PARA ELETRODUTO, EM ACO GALVANIZADO ELETROLITICO, DIAMETRO DE 20 MM (3/4")</t>
  </si>
  <si>
    <t>CONDULETE DE ALUMINIO TIPO T, PARA ELETRODUTO ROSCAVEL DE 3/4", COM TAMPA CEGA</t>
  </si>
  <si>
    <t>LUVA PARA ELETRODUTO, EM ACO GALVANIZADO ELETROLITICO, DIAMETRO DE 20 MM (3/4")</t>
  </si>
  <si>
    <t>BUCHA DE NYLON SEM ABA S5</t>
  </si>
  <si>
    <t>PARAFUSO ROSCA SOBERBA ZINCADO CABECA CHATA FENDA SIMPLES 5,5 X 50 MM (2 ")</t>
  </si>
  <si>
    <t>FITA ISOLANTE ADESIVA ANTICHAMA, USO ATE 750 V, EM ROLO DE 19 MM X 20 M</t>
  </si>
  <si>
    <t>ELETRICISTA</t>
  </si>
  <si>
    <t>AUXILIAR DE ELETRECISTA</t>
  </si>
  <si>
    <t>PINTOR</t>
  </si>
  <si>
    <t>TINTA VERMELHA</t>
  </si>
  <si>
    <t>AGUA RAZ</t>
  </si>
  <si>
    <t>VALVULA DE ESFERA BRUTA EM BRONZE, BITOLA 1 1/4 " (REF 1552-B)</t>
  </si>
  <si>
    <t>VALVULA BORBOLETA FLANGEADA C/ CAIXA RED. 4'</t>
  </si>
  <si>
    <t>VALVULA BORBOLETA FLANGEADA C/ CAIXA RED. 6'' -CL 150</t>
  </si>
  <si>
    <t>Bomba jockey vazão 20 L/min (1,20m³/h) e pressão 104 mca</t>
  </si>
  <si>
    <t>CURVA 90 GRAUS EM ACO GALVANIZADO , RAIO CURTO, SOLDAVEL, PRESSAO 3.000 LBS, DN 8"</t>
  </si>
  <si>
    <t>Bomba diesel vazão 328m³/h e pressão 84 mca - SPK</t>
  </si>
  <si>
    <t>TOTAL CASA DE BOMBAS</t>
  </si>
  <si>
    <t>TOTAL  REDE GERAL</t>
  </si>
  <si>
    <t>TOTAL  SISTEMA DE HIDRANTES</t>
  </si>
  <si>
    <t>TOTAL  SISTEMA DE CHUVEIROS AUTOMÁTICOS</t>
  </si>
  <si>
    <t>SUPORTE DE EXTINTOR  DE PAREDE-Fornecimento e instalação</t>
  </si>
  <si>
    <t>TOTAL DE COMISSIONAMENTO</t>
  </si>
  <si>
    <t>TOTAL  SISTEMA DE PREVENÇÃO E COMBATE A INCÊNDIO</t>
  </si>
  <si>
    <t>PLANILHA ORÇAMENTÁRIA DE MATERIAIS E SERVIÇOS</t>
  </si>
  <si>
    <t xml:space="preserve">ALFÂNDEGA DA RECEITA FEDERAL DO BRASIL EM SÃO PAULO </t>
  </si>
  <si>
    <t>DATA BASE:</t>
  </si>
  <si>
    <t>CLIENTE:</t>
  </si>
  <si>
    <t>CREA:</t>
  </si>
  <si>
    <r>
      <rPr>
        <u/>
        <sz val="12"/>
        <color theme="1"/>
        <rFont val="Arial"/>
        <family val="2"/>
      </rPr>
      <t xml:space="preserve">LOCAL: </t>
    </r>
    <r>
      <rPr>
        <sz val="12"/>
        <color theme="1"/>
        <rFont val="Arial"/>
        <family val="2"/>
      </rPr>
      <t>AV. PRESIDENTE WILSON, 5325-BAIRRO IPIRANGA-SÃO PAULO/SP</t>
    </r>
  </si>
  <si>
    <r>
      <rPr>
        <u/>
        <sz val="12"/>
        <color theme="1"/>
        <rFont val="Arial"/>
        <family val="2"/>
      </rPr>
      <t xml:space="preserve">OBRA: </t>
    </r>
    <r>
      <rPr>
        <sz val="12"/>
        <color theme="1"/>
        <rFont val="Arial"/>
        <family val="2"/>
      </rPr>
      <t>DMA IPIRANGA-ALFÂNDEGA DA RECEITA FEDERAL DO BRASIL EM SÃO PAULO</t>
    </r>
  </si>
  <si>
    <t>ART:28027230190401888</t>
  </si>
  <si>
    <t>5060911725-SP</t>
  </si>
  <si>
    <r>
      <rPr>
        <u/>
        <sz val="14"/>
        <color theme="1"/>
        <rFont val="Arial"/>
        <family val="2"/>
      </rPr>
      <t>ENG. CIVIL RESPONSÁVEL:</t>
    </r>
    <r>
      <rPr>
        <sz val="14"/>
        <color theme="1"/>
        <rFont val="Arial"/>
        <family val="2"/>
      </rPr>
      <t xml:space="preserve"> LUIZ CARLOS PARRA</t>
    </r>
  </si>
  <si>
    <r>
      <rPr>
        <u/>
        <sz val="14"/>
        <color theme="1"/>
        <rFont val="Arial"/>
        <family val="2"/>
      </rPr>
      <t>EMAIL:</t>
    </r>
    <r>
      <rPr>
        <sz val="14"/>
        <color theme="1"/>
        <rFont val="Arial"/>
        <family val="2"/>
      </rPr>
      <t xml:space="preserve"> sorenge@sorenge.com.br</t>
    </r>
  </si>
  <si>
    <t>SINAP DESONERADO(A lei 13.161/2015)</t>
  </si>
  <si>
    <t xml:space="preserve"> CREA: 5060911725-SP</t>
  </si>
  <si>
    <t>Lei 4.320/1964;Lei n. 8.883/1994;TAXA SELIC -Taxa de 3,75% ao ano, considerando 2 meses.</t>
  </si>
  <si>
    <t>Obs. Considerado 1ºQuartil</t>
  </si>
  <si>
    <t>DESENHISTA PROJETISTA COM ENCARGOS COMPLEMENTARES</t>
  </si>
  <si>
    <t>ADMINISTRAÇÃO LOCAL</t>
  </si>
  <si>
    <t>A</t>
  </si>
  <si>
    <t>A1</t>
  </si>
  <si>
    <t>A2</t>
  </si>
  <si>
    <t>A3</t>
  </si>
  <si>
    <t xml:space="preserve"> ENCARREGADO GERAL HIDRÁULICA COM ENCARGOS COMPLEMENTARES</t>
  </si>
  <si>
    <t>acórdão 2622/2013 , 1ºquartil</t>
  </si>
  <si>
    <t>ENCARGOS SOCIAIS SOBRE A MÃO DE OBRA</t>
  </si>
  <si>
    <t>CÓDIGO</t>
  </si>
  <si>
    <t>HORISTA</t>
  </si>
  <si>
    <t>MENSALISTA</t>
  </si>
  <si>
    <t>A4</t>
  </si>
  <si>
    <t>A5</t>
  </si>
  <si>
    <t>A6</t>
  </si>
  <si>
    <t>A7</t>
  </si>
  <si>
    <t>A8</t>
  </si>
  <si>
    <t>A9</t>
  </si>
  <si>
    <t>INSS</t>
  </si>
  <si>
    <t>SESI</t>
  </si>
  <si>
    <t>SENAI</t>
  </si>
  <si>
    <t>INCRA</t>
  </si>
  <si>
    <t>SEBRAE</t>
  </si>
  <si>
    <t>SALÁRIO EDUCAÇÃO</t>
  </si>
  <si>
    <t>SEGURO CONTRA ACIDENTE DE TRABALHO</t>
  </si>
  <si>
    <t>FGTS</t>
  </si>
  <si>
    <t>SECONCI</t>
  </si>
  <si>
    <t>GRUPO A</t>
  </si>
  <si>
    <t>GRUPO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</si>
  <si>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</si>
  <si>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</si>
  <si>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</si>
  <si>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</si>
  <si>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</si>
  <si>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</si>
  <si>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</si>
  <si>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</si>
  <si>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</si>
  <si>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</si>
  <si>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</t>
  </si>
  <si>
    <t>REPOUSO SEMANAL REMUNERADO</t>
  </si>
  <si>
    <t>FERIADOS</t>
  </si>
  <si>
    <t>AUXILIO 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</si>
  <si>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</si>
  <si>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</si>
  <si>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</si>
  <si>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</si>
  <si>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</si>
  <si>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</si>
  <si>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</si>
  <si>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NÃO INCIDE</t>
  </si>
  <si>
    <t>GRUPO C</t>
  </si>
  <si>
    <t>C4</t>
  </si>
  <si>
    <t>C5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</si>
  <si>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</si>
  <si>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</si>
  <si>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</si>
  <si>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</si>
  <si>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</si>
  <si>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</si>
  <si>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GRUPO D</t>
  </si>
  <si>
    <t>D1</t>
  </si>
  <si>
    <t>D2</t>
  </si>
  <si>
    <t>D</t>
  </si>
  <si>
    <t>REINCIDÊNCIA DE GRUPO A SOBRE GRUPO B</t>
  </si>
  <si>
    <t>REINCIDÊNCIA DE GRUPO A SOBRE AVISO PRÉVIO TRABALHADO E REINCIDÊNCIA DO FGTS SOBRE AVISO PRÉVIO INDENIZADO</t>
  </si>
  <si>
    <t>TOTAL (A+B+C+D)</t>
  </si>
  <si>
    <t>REF. SINAPI CAIXA-ESTADO DE SÃO PAULO</t>
  </si>
  <si>
    <t>Comissionamento</t>
  </si>
  <si>
    <t xml:space="preserve">Administração Local </t>
  </si>
  <si>
    <t>Treinamento</t>
  </si>
  <si>
    <t>ANEXO 1- FORMULAÇÃO DO BDI PARA MATERIAIS E  SERVIÇOS</t>
  </si>
  <si>
    <t>ANEXO 2 - FORMULAÇÃO DO BDI DIFERENCIADO (APLICADO SOMENTE AO ITEM 2.30- RESERVATÓRIO)</t>
  </si>
  <si>
    <t xml:space="preserve">SPK PENDENTE K11 ( K160) RESPOSTA PADRÃO </t>
  </si>
  <si>
    <t>TUBO AÇO  COM COSTURA, NBR 5590, SCH 40, DN = 200MM</t>
  </si>
  <si>
    <t>ADMINISTRAÇÃO LOCAL DA OBRA</t>
  </si>
  <si>
    <t>Medidor de Vazão (Flow meter) 8"</t>
  </si>
  <si>
    <t>O valor unitário da sinalização do item 7.9 apresenta 3 casas decimais porque o valor unitário recebido em cotação consta 3 casas decimais</t>
  </si>
  <si>
    <t>CANTEIRO DE OBRA</t>
  </si>
  <si>
    <t>4.24</t>
  </si>
  <si>
    <t>2.31</t>
  </si>
  <si>
    <t>2.32</t>
  </si>
  <si>
    <t>PORTAS CORTA FOGO</t>
  </si>
  <si>
    <t>9.1</t>
  </si>
  <si>
    <t>m³</t>
  </si>
  <si>
    <t>ÁGUA POTÁVEL (CAMINHÃO PIPA PARA ENCHIMENTO)</t>
  </si>
  <si>
    <t>9.2</t>
  </si>
  <si>
    <t>PORTA CORTA FOGO COM TRRF 60MIN FORNECIMENTO E INSTALAÇÃO 90X210X5</t>
  </si>
  <si>
    <t>PORTA CORTA FOGO COM TRRF 60MIN FORNECIMENTO E INSTALAÇÃO  230X210X5</t>
  </si>
  <si>
    <t>TOTAL PORTA CORTA FOGO</t>
  </si>
  <si>
    <t>4.25</t>
  </si>
  <si>
    <t>4.26</t>
  </si>
  <si>
    <t>SPK PENDENTE K11 ( K160) RESPOSTA PADRÃO - CASA DE BOMBAS</t>
  </si>
  <si>
    <t>PORTA CORTA FOGO</t>
  </si>
  <si>
    <t>Porta corta fogo</t>
  </si>
  <si>
    <t>ANEXO 4 - CURVA ABC - PROJETO DE PROTEÇÃO E COMBATE A INCÊNDIO</t>
  </si>
  <si>
    <t>GRUPO</t>
  </si>
  <si>
    <t>VALOR ACUMULADO</t>
  </si>
  <si>
    <t>PORCENTAGEM ACUMULADA</t>
  </si>
  <si>
    <t>QTD DE ITEM ACUMULADO</t>
  </si>
  <si>
    <t>Total</t>
  </si>
  <si>
    <t>4.2;4.3;4.4;4.5;4.6;4.7</t>
  </si>
  <si>
    <t xml:space="preserve">Bomba jockey vazão 20 L/min (1,20m³/h) e pressão 94 mca-FORNCECIMENTO E INSTALAÇÃO;Bomba diesel vazão 328m³/h e pressão 84 mca - SPK;TANQUE ÓLEO DIESEL ;VALVULA DE ALIVIO 3/4"  ARREFECIMENTO </t>
  </si>
  <si>
    <t>ANEXO 3 - COMPOSIÇÃO DOS ENCARGOS SOCIAIS DESONERADOS (CPRB)</t>
  </si>
  <si>
    <t>JOELHO 90 GRAUS, EM FERRO GALVANIZADO, DN 65 (2 1/2"), CONEXÃO ROSQUEADA, INSTALADO EM REDE DE ALIMENTAÇÃO PARA HIDRANTE - FORNECIMENTO E INSTALAÇÃO. AF_10/2020</t>
  </si>
  <si>
    <t>TÊ, EM FERRO GALVANIZADO, CONEXÃO ROSQUEADA, DN 65 (2 1/2"), INSTALADO EM REDE DE ALIMENTAÇÃO PARA HIDRANTE - FORNECIMENTO E INSTALAÇÃO. AF_10/2020</t>
  </si>
  <si>
    <t>TUBO DE AÇO GALVANIZADO COM COSTURA, CLASSE MÉDIA, CONEXÃO ROSQUEADA, DN 32 (1 1/4"), INSTALADO EM  REDE DE ALIMENTAÇÃO PARA SPRINKLER - FORNECIMENTO E INSTALAÇÃO. AF_10/2020</t>
  </si>
  <si>
    <t>TUBO DE AÇO GALVANIZADO COM COSTURA, CLASSE MÉDIA, CONEXÃO ROSQUEADA, DN 25 (1"), INSTALADO EM REDE DE ALIMENTAÇÃO PARA SPRINKLER - FORNECIMENTO E INSTALAÇÃO. AF_10/2020</t>
  </si>
  <si>
    <t>TUBO DE AÇO GALVANIZADO COM COSTURA, CLASSE MÉDIA, CONEXÃO ROSQUEADA, DN 40 (1 1/2"), INSTALADO EM REDE DE ALIMENTAÇÃO PARA SPRINKLER - FORNECIMENTO E INSTALAÇÃO. AF_10/2020</t>
  </si>
  <si>
    <t>TUBO DE AÇO GALVANIZADO COM COSTURA, CLASSE MÉDIA, CONEXÃO ROSQUEADA, DN 50 (2"), INSTALADO EM REDE DE ALIMENTAÇÃO PARA SPRINKLER - FORNECIMENTO E INSTALAÇÃO. AF_10/2020</t>
  </si>
  <si>
    <t>TUBO DE AÇO GALVANIZADO COM COSTURA, CLASSE MÉDIA, CONEXÃO ROSQUEADA, DN 65 (2 1/2"), INSTALADO EM REDE DE ALIMENTAÇÃO PARA SPRINKLER - FORNECIMENTO E INSTALAÇÃO. AF_10/2020</t>
  </si>
  <si>
    <t>JOELHO 90 GRAUS, EM FERRO GALVANIZADO, CONEXÃO ROSQUEADA, DN 32 (1 1/4"), INSTALADO EM REDE DE ALIMENTAÇÃO PARA SPRINKLER - FORNECIMENTO E INSTALAÇÃO. AF_10/2020</t>
  </si>
  <si>
    <t>TÊ, EM FERRO GALVANIZADO, CONEXÃO ROSQUEADA, DN 25 (1"), INSTALADO EM REDE DE ALIMENTAÇÃO PARA SPRINKLER - FORNECIMENTO E INSTALAÇÃO. AF_10/2020</t>
  </si>
  <si>
    <t>JOELHO 90 GRAUS, EM FERRO GALVANIZADO, CONEXÃO ROSQUEADA, DN 25 (1"), INSTALADO EM REDE DE ALIMENTAÇÃO PARA SPRINKLER - FORNECIMENTO E INSTALAÇÃO. AF_10/2020</t>
  </si>
  <si>
    <t>CRONOGRAMA FÍSICO FINANCEIRO (ETAPAS E SEMANAS DECORRIDAS)</t>
  </si>
  <si>
    <t>Etapa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</si>
  <si>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</si>
  <si>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</si>
  <si>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</si>
  <si>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</si>
  <si>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</si>
  <si>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</si>
  <si>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</si>
  <si>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</si>
  <si>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</si>
  <si>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</si>
  <si>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</si>
  <si>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</si>
  <si>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</si>
  <si>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</si>
  <si>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</si>
  <si>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</si>
  <si>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</si>
  <si>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r>
      <t>SISTEMAS\</t>
    </r>
    <r>
      <rPr>
        <b/>
        <sz val="11"/>
        <color rgb="FF0000FF"/>
        <rFont val="Calibri"/>
        <family val="2"/>
        <scheme val="minor"/>
      </rPr>
      <t>Semanas Decorridas</t>
    </r>
  </si>
  <si>
    <t>Total por Etapa</t>
  </si>
  <si>
    <t>UTILIZADO</t>
  </si>
  <si>
    <t>SINPAI</t>
  </si>
  <si>
    <t>TUBO DE AÇO GALVANIZADO COM COSTURA, CLASSE MÉDIA, DN 65 (2 1/2"), CONEXÃO ROSQUEADA, INSTALADO EM REDE DE ALIMENTAÇÃO PARA HIDRANTE - FORNECIMENTO E INSTALAÇÃO. AF_10/2020</t>
  </si>
  <si>
    <t>TUBO DE AÇO GALVANIZADO COM COSTURA, CLASSE MÉDIA, CONEXÃO ROSQUEADA, DN 100 (4"), INSTALADO EM REDE  DE ALIMENTAÇÃO PARA HIDRANTE - FORNECIMENTO E INSTALAÇÃO. AF_10/2020</t>
  </si>
  <si>
    <t xml:space="preserve">SINAPI </t>
  </si>
  <si>
    <t>SINAPI /RT JULHO/2022</t>
  </si>
  <si>
    <t>TRIBUTOS(PIS,COFINS, CPRB  )</t>
  </si>
  <si>
    <t>OBS. BATERIA(ITEM 5.2) INCLUSA  AGOSTO/2022</t>
  </si>
  <si>
    <t>PASSOU PARA A PLANILHA DO RESERVATÓRIO (PLANILHA EXTERNA)</t>
  </si>
  <si>
    <t>ATUALIZAÇÂO ORÇAMENTÁRIA</t>
  </si>
  <si>
    <r>
      <rPr>
        <u/>
        <sz val="14"/>
        <color theme="1"/>
        <rFont val="Arial"/>
        <family val="2"/>
      </rPr>
      <t>EMPRESA RESPONSÁVEL:</t>
    </r>
    <r>
      <rPr>
        <sz val="14"/>
        <color theme="1"/>
        <rFont val="Arial"/>
        <family val="2"/>
      </rPr>
      <t xml:space="preserve"> PGE</t>
    </r>
  </si>
  <si>
    <t>ART:28027230230238796</t>
  </si>
  <si>
    <r>
      <rPr>
        <u/>
        <sz val="14"/>
        <color theme="1"/>
        <rFont val="Arial"/>
        <family val="2"/>
      </rPr>
      <t>EMAIL:</t>
    </r>
    <r>
      <rPr>
        <sz val="14"/>
        <color theme="1"/>
        <rFont val="Arial"/>
        <family val="2"/>
      </rPr>
      <t xml:space="preserve"> pge@pge.com.br</t>
    </r>
  </si>
  <si>
    <t>CREA: 0694941-SP</t>
  </si>
  <si>
    <t>CÓDIGO SINAPI (OU MÊS DE REFERÊNCIA SE ITEM NÃO-SINAPI)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</si>
</sst>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%"/>
    <numFmt numFmtId="166" formatCode="0.000%"/>
    <numFmt numFmtId="167" formatCode="_-&quot;R$&quot;\ * #,##0.000_-;\-&quot;R$&quot;\ * #,##0.000_-;_-&quot;R$&quot;\ * &quot;-&quot;??_-;_-@_-"/>
    <numFmt numFmtId="168" formatCode="_-[$R$-416]\ * #,##0.00_-;\-[$R$-416]\ * #,##0.00_-;_-[$R$-416]\ * &quot;-&quot;??_-;_-@_-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sz val="11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4"/>
      <color theme="1"/>
      <name val="Arial"/>
      <family val="2"/>
    </font>
    <font>
      <b/>
      <u/>
      <sz val="16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Calibri"/>
      <family val="2"/>
      <scheme val="minor"/>
    </font>
    <font>
      <b/>
      <sz val="16"/>
      <name val="Arial"/>
      <family val="2"/>
    </font>
    <font>
      <sz val="12"/>
      <color theme="4"/>
      <name val="Arial"/>
      <family val="2"/>
    </font>
    <font>
      <b/>
      <sz val="15"/>
      <color theme="1"/>
      <name val="Calibri"/>
      <family val="2"/>
      <scheme val="minor"/>
    </font>
    <font>
      <sz val="15"/>
      <color theme="1"/>
      <name val="Arial"/>
      <family val="2"/>
    </font>
    <font>
      <sz val="9"/>
      <color rgb="FF000000"/>
      <name val="TT5F6t00"/>
    </font>
    <font>
      <b/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7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/>
    </xf>
    <xf numFmtId="0" fontId="6" fillId="0" borderId="0" xfId="0" applyFont="1"/>
    <xf numFmtId="0" fontId="0" fillId="0" borderId="0" xfId="0" applyAlignment="1">
      <alignment wrapText="1"/>
    </xf>
    <xf numFmtId="2" fontId="0" fillId="0" borderId="0" xfId="0" applyNumberFormat="1" applyAlignment="1">
      <alignment horizontal="left"/>
    </xf>
    <xf numFmtId="0" fontId="13" fillId="0" borderId="0" xfId="0" applyFont="1"/>
    <xf numFmtId="165" fontId="0" fillId="0" borderId="0" xfId="4" applyNumberFormat="1" applyFont="1"/>
    <xf numFmtId="10" fontId="0" fillId="0" borderId="0" xfId="4" applyNumberFormat="1" applyFont="1"/>
    <xf numFmtId="10" fontId="0" fillId="0" borderId="0" xfId="0" applyNumberFormat="1"/>
    <xf numFmtId="0" fontId="15" fillId="0" borderId="0" xfId="0" applyFont="1"/>
    <xf numFmtId="10" fontId="15" fillId="0" borderId="0" xfId="0" applyNumberFormat="1" applyFont="1"/>
    <xf numFmtId="0" fontId="16" fillId="0" borderId="1" xfId="0" applyFont="1" applyBorder="1" applyAlignment="1">
      <alignment horizontal="center"/>
    </xf>
    <xf numFmtId="44" fontId="13" fillId="0" borderId="1" xfId="0" applyNumberFormat="1" applyFont="1" applyBorder="1"/>
    <xf numFmtId="44" fontId="13" fillId="4" borderId="1" xfId="0" applyNumberFormat="1" applyFont="1" applyFill="1" applyBorder="1"/>
    <xf numFmtId="0" fontId="13" fillId="0" borderId="1" xfId="0" applyFont="1" applyBorder="1" applyAlignment="1">
      <alignment horizontal="center"/>
    </xf>
    <xf numFmtId="44" fontId="13" fillId="0" borderId="0" xfId="0" applyNumberFormat="1" applyFont="1"/>
    <xf numFmtId="44" fontId="8" fillId="0" borderId="0" xfId="1" applyFont="1" applyFill="1" applyBorder="1" applyAlignment="1">
      <alignment horizontal="center" vertical="center" wrapText="1"/>
    </xf>
    <xf numFmtId="44" fontId="0" fillId="0" borderId="0" xfId="0" applyNumberFormat="1"/>
    <xf numFmtId="44" fontId="13" fillId="0" borderId="1" xfId="0" applyNumberFormat="1" applyFont="1" applyBorder="1" applyAlignment="1">
      <alignment horizontal="center"/>
    </xf>
    <xf numFmtId="44" fontId="13" fillId="0" borderId="1" xfId="0" applyNumberFormat="1" applyFont="1" applyBorder="1" applyAlignment="1">
      <alignment vertical="center"/>
    </xf>
    <xf numFmtId="4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 applyAlignment="1">
      <alignment horizontal="center"/>
    </xf>
    <xf numFmtId="2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center"/>
    </xf>
    <xf numFmtId="44" fontId="0" fillId="0" borderId="0" xfId="1" applyFont="1" applyBorder="1"/>
    <xf numFmtId="0" fontId="0" fillId="0" borderId="16" xfId="0" applyBorder="1" applyAlignment="1">
      <alignment horizontal="center"/>
    </xf>
    <xf numFmtId="44" fontId="13" fillId="0" borderId="1" xfId="1" applyFont="1" applyFill="1" applyBorder="1" applyAlignment="1">
      <alignment horizontal="center"/>
    </xf>
    <xf numFmtId="0" fontId="5" fillId="0" borderId="4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67" xfId="0" applyFont="1" applyBorder="1" applyAlignment="1">
      <alignment vertical="top"/>
    </xf>
    <xf numFmtId="0" fontId="6" fillId="0" borderId="57" xfId="0" applyFont="1" applyBorder="1" applyAlignment="1">
      <alignment horizontal="center" vertical="top"/>
    </xf>
    <xf numFmtId="0" fontId="6" fillId="0" borderId="58" xfId="0" applyFont="1" applyBorder="1" applyAlignment="1">
      <alignment horizontal="center" vertical="top"/>
    </xf>
    <xf numFmtId="0" fontId="6" fillId="0" borderId="57" xfId="0" applyFont="1" applyBorder="1" applyAlignment="1">
      <alignment vertical="top"/>
    </xf>
    <xf numFmtId="0" fontId="6" fillId="0" borderId="55" xfId="0" applyFont="1" applyBorder="1" applyAlignment="1">
      <alignment vertical="top"/>
    </xf>
    <xf numFmtId="0" fontId="6" fillId="0" borderId="67" xfId="0" applyFont="1" applyBorder="1" applyAlignment="1">
      <alignment vertical="top"/>
    </xf>
    <xf numFmtId="0" fontId="0" fillId="0" borderId="67" xfId="0" applyBorder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52" xfId="0" applyFont="1" applyBorder="1" applyAlignment="1">
      <alignment vertical="top"/>
    </xf>
    <xf numFmtId="0" fontId="6" fillId="0" borderId="59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20" fillId="0" borderId="44" xfId="0" applyFont="1" applyBorder="1" applyAlignment="1">
      <alignment horizontal="left" vertical="top"/>
    </xf>
    <xf numFmtId="0" fontId="20" fillId="0" borderId="57" xfId="0" applyFont="1" applyBorder="1" applyAlignment="1">
      <alignment horizontal="left" vertical="top"/>
    </xf>
    <xf numFmtId="0" fontId="18" fillId="0" borderId="55" xfId="0" applyFont="1" applyBorder="1" applyAlignment="1">
      <alignment vertical="top"/>
    </xf>
    <xf numFmtId="0" fontId="20" fillId="0" borderId="67" xfId="0" applyFont="1" applyBorder="1" applyAlignment="1">
      <alignment vertical="top"/>
    </xf>
    <xf numFmtId="16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left" wrapText="1"/>
    </xf>
    <xf numFmtId="1" fontId="13" fillId="0" borderId="1" xfId="0" applyNumberFormat="1" applyFon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44" fontId="16" fillId="4" borderId="1" xfId="0" applyNumberFormat="1" applyFont="1" applyFill="1" applyBorder="1" applyAlignment="1">
      <alignment horizontal="center"/>
    </xf>
    <xf numFmtId="0" fontId="13" fillId="4" borderId="1" xfId="0" applyFont="1" applyFill="1" applyBorder="1"/>
    <xf numFmtId="0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4" fontId="13" fillId="4" borderId="1" xfId="0" applyNumberFormat="1" applyFont="1" applyFill="1" applyBorder="1" applyAlignment="1">
      <alignment horizontal="center"/>
    </xf>
    <xf numFmtId="0" fontId="13" fillId="0" borderId="2" xfId="0" applyFont="1" applyBorder="1"/>
    <xf numFmtId="0" fontId="13" fillId="4" borderId="0" xfId="0" applyFont="1" applyFill="1"/>
    <xf numFmtId="0" fontId="13" fillId="0" borderId="1" xfId="0" applyFont="1" applyBorder="1" applyAlignment="1">
      <alignment vertical="center"/>
    </xf>
    <xf numFmtId="44" fontId="13" fillId="4" borderId="1" xfId="1" applyFont="1" applyFill="1" applyBorder="1"/>
    <xf numFmtId="44" fontId="13" fillId="0" borderId="1" xfId="1" applyFont="1" applyBorder="1"/>
    <xf numFmtId="164" fontId="13" fillId="0" borderId="0" xfId="0" applyNumberFormat="1" applyFont="1" applyAlignment="1">
      <alignment horizontal="left"/>
    </xf>
    <xf numFmtId="0" fontId="14" fillId="0" borderId="0" xfId="0" applyFont="1" applyAlignment="1">
      <alignment wrapText="1"/>
    </xf>
    <xf numFmtId="10" fontId="0" fillId="0" borderId="0" xfId="4" applyNumberFormat="1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6" fillId="0" borderId="0" xfId="0" applyFont="1"/>
    <xf numFmtId="44" fontId="21" fillId="5" borderId="1" xfId="0" applyNumberFormat="1" applyFont="1" applyFill="1" applyBorder="1"/>
    <xf numFmtId="44" fontId="21" fillId="0" borderId="1" xfId="0" applyNumberFormat="1" applyFont="1" applyBorder="1"/>
    <xf numFmtId="0" fontId="21" fillId="0" borderId="1" xfId="0" applyFont="1" applyBorder="1"/>
    <xf numFmtId="44" fontId="21" fillId="0" borderId="1" xfId="1" applyFont="1" applyBorder="1"/>
    <xf numFmtId="2" fontId="7" fillId="5" borderId="37" xfId="0" applyNumberFormat="1" applyFont="1" applyFill="1" applyBorder="1" applyAlignment="1">
      <alignment horizontal="left" vertical="center"/>
    </xf>
    <xf numFmtId="0" fontId="7" fillId="5" borderId="39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0" fillId="0" borderId="57" xfId="0" applyBorder="1"/>
    <xf numFmtId="0" fontId="6" fillId="0" borderId="66" xfId="0" applyFont="1" applyBorder="1" applyAlignment="1">
      <alignment vertical="top"/>
    </xf>
    <xf numFmtId="0" fontId="6" fillId="0" borderId="53" xfId="0" applyFont="1" applyBorder="1" applyAlignment="1">
      <alignment vertical="top"/>
    </xf>
    <xf numFmtId="0" fontId="0" fillId="0" borderId="60" xfId="0" applyBorder="1"/>
    <xf numFmtId="17" fontId="6" fillId="0" borderId="66" xfId="0" applyNumberFormat="1" applyFont="1" applyBorder="1" applyAlignment="1">
      <alignment horizontal="center" vertical="top"/>
    </xf>
    <xf numFmtId="0" fontId="20" fillId="0" borderId="0" xfId="0" applyFont="1" applyAlignment="1">
      <alignment vertical="top"/>
    </xf>
    <xf numFmtId="0" fontId="0" fillId="0" borderId="58" xfId="0" applyBorder="1"/>
    <xf numFmtId="0" fontId="18" fillId="0" borderId="5" xfId="0" applyFont="1" applyBorder="1" applyAlignment="1">
      <alignment vertical="top"/>
    </xf>
    <xf numFmtId="0" fontId="0" fillId="0" borderId="59" xfId="0" applyBorder="1"/>
    <xf numFmtId="0" fontId="6" fillId="0" borderId="60" xfId="0" applyFont="1" applyBorder="1" applyAlignment="1">
      <alignment vertical="top"/>
    </xf>
    <xf numFmtId="0" fontId="0" fillId="0" borderId="61" xfId="0" applyBorder="1"/>
    <xf numFmtId="0" fontId="20" fillId="0" borderId="50" xfId="0" applyFont="1" applyBorder="1" applyAlignment="1">
      <alignment vertical="top"/>
    </xf>
    <xf numFmtId="0" fontId="20" fillId="0" borderId="60" xfId="0" applyFont="1" applyBorder="1" applyAlignment="1">
      <alignment vertical="top"/>
    </xf>
    <xf numFmtId="0" fontId="5" fillId="0" borderId="65" xfId="0" applyFont="1" applyBorder="1" applyAlignment="1">
      <alignment vertical="top"/>
    </xf>
    <xf numFmtId="0" fontId="6" fillId="0" borderId="68" xfId="0" applyFont="1" applyBorder="1" applyAlignment="1">
      <alignment vertical="top"/>
    </xf>
    <xf numFmtId="0" fontId="1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0" fillId="0" borderId="16" xfId="0" applyBorder="1" applyAlignment="1">
      <alignment wrapText="1"/>
    </xf>
    <xf numFmtId="44" fontId="0" fillId="0" borderId="13" xfId="0" applyNumberFormat="1" applyBorder="1"/>
    <xf numFmtId="44" fontId="13" fillId="0" borderId="13" xfId="0" applyNumberFormat="1" applyFont="1" applyBorder="1"/>
    <xf numFmtId="0" fontId="0" fillId="0" borderId="18" xfId="0" applyBorder="1" applyAlignment="1">
      <alignment wrapText="1"/>
    </xf>
    <xf numFmtId="44" fontId="21" fillId="0" borderId="19" xfId="0" applyNumberFormat="1" applyFont="1" applyBorder="1"/>
    <xf numFmtId="44" fontId="0" fillId="0" borderId="20" xfId="0" applyNumberFormat="1" applyBorder="1"/>
    <xf numFmtId="10" fontId="0" fillId="0" borderId="0" xfId="0" applyNumberFormat="1" applyAlignment="1">
      <alignment horizontal="center"/>
    </xf>
    <xf numFmtId="2" fontId="9" fillId="2" borderId="27" xfId="0" applyNumberFormat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2" fontId="6" fillId="0" borderId="5" xfId="0" applyNumberFormat="1" applyFont="1" applyBorder="1" applyAlignment="1">
      <alignment horizontal="left"/>
    </xf>
    <xf numFmtId="44" fontId="6" fillId="0" borderId="0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4" fontId="10" fillId="0" borderId="0" xfId="1" applyFont="1" applyFill="1" applyBorder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44" fontId="13" fillId="0" borderId="0" xfId="1" applyFont="1"/>
    <xf numFmtId="9" fontId="0" fillId="0" borderId="0" xfId="4" applyFont="1"/>
    <xf numFmtId="0" fontId="0" fillId="0" borderId="1" xfId="0" applyBorder="1"/>
    <xf numFmtId="10" fontId="0" fillId="0" borderId="1" xfId="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4" applyNumberFormat="1" applyFont="1" applyBorder="1" applyAlignment="1">
      <alignment horizontal="center"/>
    </xf>
    <xf numFmtId="10" fontId="0" fillId="0" borderId="59" xfId="4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10" fontId="0" fillId="0" borderId="60" xfId="4" applyNumberFormat="1" applyFont="1" applyBorder="1" applyAlignment="1">
      <alignment horizontal="center"/>
    </xf>
    <xf numFmtId="10" fontId="0" fillId="0" borderId="61" xfId="4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10" fontId="0" fillId="0" borderId="13" xfId="4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10" fontId="0" fillId="0" borderId="19" xfId="4" applyNumberFormat="1" applyFont="1" applyBorder="1" applyAlignment="1">
      <alignment horizontal="center"/>
    </xf>
    <xf numFmtId="10" fontId="0" fillId="0" borderId="20" xfId="4" applyNumberFormat="1" applyFont="1" applyBorder="1" applyAlignment="1">
      <alignment horizontal="center"/>
    </xf>
    <xf numFmtId="10" fontId="0" fillId="0" borderId="38" xfId="4" applyNumberFormat="1" applyFont="1" applyBorder="1" applyAlignment="1">
      <alignment horizontal="center"/>
    </xf>
    <xf numFmtId="10" fontId="0" fillId="0" borderId="62" xfId="4" applyNumberFormat="1" applyFont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44" fontId="7" fillId="0" borderId="39" xfId="1" applyFont="1" applyFill="1" applyBorder="1" applyAlignment="1">
      <alignment horizontal="center" vertical="center"/>
    </xf>
    <xf numFmtId="44" fontId="7" fillId="0" borderId="39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44" fontId="21" fillId="5" borderId="1" xfId="1" applyFont="1" applyFill="1" applyBorder="1"/>
    <xf numFmtId="0" fontId="0" fillId="6" borderId="1" xfId="0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6" fontId="0" fillId="0" borderId="0" xfId="4" applyNumberFormat="1" applyFont="1"/>
    <xf numFmtId="166" fontId="0" fillId="0" borderId="0" xfId="0" applyNumberFormat="1"/>
    <xf numFmtId="166" fontId="0" fillId="0" borderId="0" xfId="4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0" borderId="0" xfId="0" applyFont="1" applyAlignment="1">
      <alignment horizontal="left" vertical="center"/>
    </xf>
    <xf numFmtId="0" fontId="10" fillId="0" borderId="58" xfId="0" applyFont="1" applyBorder="1" applyAlignment="1">
      <alignment horizontal="center" vertical="top"/>
    </xf>
    <xf numFmtId="0" fontId="10" fillId="0" borderId="52" xfId="0" applyFont="1" applyBorder="1" applyAlignment="1">
      <alignment vertical="top"/>
    </xf>
    <xf numFmtId="0" fontId="10" fillId="0" borderId="59" xfId="0" applyFont="1" applyBorder="1" applyAlignment="1">
      <alignment vertical="top"/>
    </xf>
    <xf numFmtId="0" fontId="24" fillId="0" borderId="0" xfId="0" applyFont="1"/>
    <xf numFmtId="44" fontId="0" fillId="0" borderId="0" xfId="1" applyFont="1" applyFill="1"/>
    <xf numFmtId="166" fontId="0" fillId="0" borderId="0" xfId="1" applyNumberFormat="1" applyFont="1" applyFill="1" applyAlignment="1">
      <alignment horizontal="center"/>
    </xf>
    <xf numFmtId="0" fontId="1" fillId="0" borderId="30" xfId="0" applyFont="1" applyBorder="1" applyAlignment="1">
      <alignment horizontal="center"/>
    </xf>
    <xf numFmtId="44" fontId="1" fillId="0" borderId="30" xfId="1" applyFont="1" applyFill="1" applyBorder="1" applyAlignment="1">
      <alignment horizontal="center"/>
    </xf>
    <xf numFmtId="166" fontId="1" fillId="0" borderId="30" xfId="1" applyNumberFormat="1" applyFont="1" applyFill="1" applyBorder="1" applyAlignment="1">
      <alignment horizontal="center"/>
    </xf>
    <xf numFmtId="0" fontId="1" fillId="0" borderId="31" xfId="1" applyNumberFormat="1" applyFont="1" applyFill="1" applyBorder="1" applyAlignment="1">
      <alignment horizontal="center"/>
    </xf>
    <xf numFmtId="1" fontId="0" fillId="7" borderId="2" xfId="0" applyNumberFormat="1" applyFill="1" applyBorder="1" applyAlignment="1">
      <alignment horizontal="center" vertical="center"/>
    </xf>
    <xf numFmtId="44" fontId="0" fillId="7" borderId="2" xfId="1" applyFont="1" applyFill="1" applyBorder="1" applyAlignment="1">
      <alignment horizontal="center" vertical="center"/>
    </xf>
    <xf numFmtId="166" fontId="0" fillId="7" borderId="2" xfId="4" applyNumberFormat="1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44" fontId="0" fillId="7" borderId="1" xfId="1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1" fontId="0" fillId="6" borderId="2" xfId="0" applyNumberFormat="1" applyFill="1" applyBorder="1" applyAlignment="1">
      <alignment horizontal="center" vertical="center"/>
    </xf>
    <xf numFmtId="44" fontId="0" fillId="6" borderId="1" xfId="1" applyFont="1" applyFill="1" applyBorder="1" applyAlignment="1">
      <alignment horizontal="center" vertical="center"/>
    </xf>
    <xf numFmtId="44" fontId="0" fillId="6" borderId="2" xfId="1" applyFont="1" applyFill="1" applyBorder="1" applyAlignment="1">
      <alignment horizontal="center" vertical="center"/>
    </xf>
    <xf numFmtId="166" fontId="0" fillId="6" borderId="2" xfId="4" applyNumberFormat="1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/>
    </xf>
    <xf numFmtId="1" fontId="0" fillId="8" borderId="2" xfId="0" applyNumberFormat="1" applyFill="1" applyBorder="1" applyAlignment="1">
      <alignment horizontal="center" vertical="center"/>
    </xf>
    <xf numFmtId="44" fontId="0" fillId="8" borderId="1" xfId="1" applyFont="1" applyFill="1" applyBorder="1" applyAlignment="1">
      <alignment horizontal="center" vertical="center"/>
    </xf>
    <xf numFmtId="44" fontId="0" fillId="8" borderId="2" xfId="1" applyFont="1" applyFill="1" applyBorder="1" applyAlignment="1">
      <alignment horizontal="center" vertical="center"/>
    </xf>
    <xf numFmtId="166" fontId="0" fillId="8" borderId="2" xfId="4" applyNumberFormat="1" applyFont="1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 wrapText="1"/>
    </xf>
    <xf numFmtId="0" fontId="0" fillId="8" borderId="24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44" fontId="0" fillId="8" borderId="1" xfId="1" applyFont="1" applyFill="1" applyBorder="1"/>
    <xf numFmtId="44" fontId="0" fillId="8" borderId="4" xfId="1" applyFont="1" applyFill="1" applyBorder="1" applyAlignment="1">
      <alignment horizontal="center" vertical="center"/>
    </xf>
    <xf numFmtId="44" fontId="0" fillId="8" borderId="0" xfId="1" applyFont="1" applyFill="1" applyBorder="1" applyAlignment="1">
      <alignment horizontal="center" vertical="center"/>
    </xf>
    <xf numFmtId="44" fontId="0" fillId="8" borderId="4" xfId="1" applyFont="1" applyFill="1" applyBorder="1"/>
    <xf numFmtId="0" fontId="0" fillId="8" borderId="19" xfId="0" applyFill="1" applyBorder="1"/>
    <xf numFmtId="44" fontId="0" fillId="8" borderId="19" xfId="1" applyFont="1" applyFill="1" applyBorder="1"/>
    <xf numFmtId="44" fontId="0" fillId="8" borderId="15" xfId="1" applyFont="1" applyFill="1" applyBorder="1"/>
    <xf numFmtId="44" fontId="0" fillId="0" borderId="0" xfId="1" applyFont="1" applyFill="1" applyBorder="1"/>
    <xf numFmtId="166" fontId="0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44" fontId="0" fillId="0" borderId="38" xfId="1" applyFont="1" applyFill="1" applyBorder="1"/>
    <xf numFmtId="44" fontId="0" fillId="0" borderId="39" xfId="1" applyFont="1" applyFill="1" applyBorder="1"/>
    <xf numFmtId="0" fontId="0" fillId="7" borderId="1" xfId="0" applyFill="1" applyBorder="1" applyAlignment="1">
      <alignment horizontal="center" vertical="center"/>
    </xf>
    <xf numFmtId="2" fontId="0" fillId="7" borderId="2" xfId="0" applyNumberFormat="1" applyFill="1" applyBorder="1" applyAlignment="1">
      <alignment vertical="center" wrapText="1"/>
    </xf>
    <xf numFmtId="2" fontId="0" fillId="6" borderId="2" xfId="0" applyNumberFormat="1" applyFill="1" applyBorder="1" applyAlignment="1">
      <alignment vertical="center" wrapText="1"/>
    </xf>
    <xf numFmtId="2" fontId="0" fillId="8" borderId="2" xfId="0" applyNumberForma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8" borderId="19" xfId="0" applyFill="1" applyBorder="1" applyAlignment="1">
      <alignment vertical="center" wrapText="1"/>
    </xf>
    <xf numFmtId="2" fontId="0" fillId="6" borderId="2" xfId="0" applyNumberFormat="1" applyFill="1" applyBorder="1" applyAlignment="1">
      <alignment horizontal="center" vertical="center"/>
    </xf>
    <xf numFmtId="0" fontId="16" fillId="0" borderId="40" xfId="0" applyFont="1" applyBorder="1" applyAlignment="1">
      <alignment horizontal="center"/>
    </xf>
    <xf numFmtId="2" fontId="0" fillId="7" borderId="2" xfId="0" applyNumberFormat="1" applyFill="1" applyBorder="1" applyAlignment="1">
      <alignment horizontal="center" vertical="center"/>
    </xf>
    <xf numFmtId="2" fontId="0" fillId="8" borderId="2" xfId="0" applyNumberFormat="1" applyFill="1" applyBorder="1" applyAlignment="1">
      <alignment horizontal="center" vertical="center"/>
    </xf>
    <xf numFmtId="0" fontId="0" fillId="8" borderId="19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Alignment="1">
      <alignment wrapText="1" shrinkToFit="1"/>
    </xf>
    <xf numFmtId="0" fontId="1" fillId="0" borderId="30" xfId="0" applyFont="1" applyBorder="1" applyAlignment="1">
      <alignment horizontal="center" wrapText="1" shrinkToFit="1"/>
    </xf>
    <xf numFmtId="1" fontId="0" fillId="7" borderId="2" xfId="0" applyNumberFormat="1" applyFill="1" applyBorder="1" applyAlignment="1">
      <alignment horizontal="center" vertical="center" wrapText="1" shrinkToFit="1"/>
    </xf>
    <xf numFmtId="1" fontId="0" fillId="6" borderId="2" xfId="0" applyNumberFormat="1" applyFill="1" applyBorder="1" applyAlignment="1">
      <alignment horizontal="center" vertical="center" wrapText="1" shrinkToFit="1"/>
    </xf>
    <xf numFmtId="1" fontId="0" fillId="8" borderId="2" xfId="0" applyNumberFormat="1" applyFill="1" applyBorder="1" applyAlignment="1">
      <alignment horizontal="center" vertical="center" wrapText="1" shrinkToFit="1"/>
    </xf>
    <xf numFmtId="0" fontId="0" fillId="8" borderId="19" xfId="0" applyFill="1" applyBorder="1" applyAlignment="1">
      <alignment wrapText="1" shrinkToFit="1"/>
    </xf>
    <xf numFmtId="0" fontId="0" fillId="0" borderId="37" xfId="0" applyBorder="1" applyAlignment="1">
      <alignment wrapText="1" shrinkToFit="1"/>
    </xf>
    <xf numFmtId="17" fontId="6" fillId="0" borderId="67" xfId="0" applyNumberFormat="1" applyFont="1" applyBorder="1" applyAlignment="1">
      <alignment horizontal="left" vertical="top"/>
    </xf>
    <xf numFmtId="0" fontId="26" fillId="0" borderId="0" xfId="0" applyFont="1"/>
    <xf numFmtId="44" fontId="13" fillId="0" borderId="0" xfId="0" applyNumberFormat="1" applyFont="1" applyAlignment="1">
      <alignment horizontal="center" vertical="center"/>
    </xf>
    <xf numFmtId="2" fontId="6" fillId="9" borderId="34" xfId="0" applyNumberFormat="1" applyFont="1" applyFill="1" applyBorder="1" applyAlignment="1">
      <alignment vertical="center"/>
    </xf>
    <xf numFmtId="2" fontId="6" fillId="9" borderId="35" xfId="0" applyNumberFormat="1" applyFont="1" applyFill="1" applyBorder="1" applyAlignment="1">
      <alignment vertical="center"/>
    </xf>
    <xf numFmtId="2" fontId="6" fillId="9" borderId="36" xfId="0" applyNumberFormat="1" applyFont="1" applyFill="1" applyBorder="1" applyAlignment="1">
      <alignment vertical="center"/>
    </xf>
    <xf numFmtId="2" fontId="6" fillId="9" borderId="47" xfId="0" applyNumberFormat="1" applyFont="1" applyFill="1" applyBorder="1" applyAlignment="1">
      <alignment horizontal="left"/>
    </xf>
    <xf numFmtId="2" fontId="6" fillId="9" borderId="48" xfId="0" applyNumberFormat="1" applyFont="1" applyFill="1" applyBorder="1" applyAlignment="1">
      <alignment horizontal="left"/>
    </xf>
    <xf numFmtId="2" fontId="6" fillId="9" borderId="49" xfId="0" applyNumberFormat="1" applyFont="1" applyFill="1" applyBorder="1" applyAlignment="1">
      <alignment horizontal="left"/>
    </xf>
    <xf numFmtId="2" fontId="6" fillId="9" borderId="35" xfId="0" applyNumberFormat="1" applyFont="1" applyFill="1" applyBorder="1" applyAlignment="1">
      <alignment horizontal="left" vertical="center"/>
    </xf>
    <xf numFmtId="49" fontId="21" fillId="0" borderId="2" xfId="0" applyNumberFormat="1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166" fontId="0" fillId="0" borderId="1" xfId="0" applyNumberFormat="1" applyBorder="1"/>
    <xf numFmtId="0" fontId="1" fillId="0" borderId="1" xfId="0" applyFont="1" applyBorder="1"/>
    <xf numFmtId="0" fontId="7" fillId="9" borderId="10" xfId="0" applyFont="1" applyFill="1" applyBorder="1" applyAlignment="1">
      <alignment horizontal="left" vertical="center" wrapText="1"/>
    </xf>
    <xf numFmtId="0" fontId="8" fillId="9" borderId="10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 wrapText="1"/>
    </xf>
    <xf numFmtId="44" fontId="8" fillId="9" borderId="10" xfId="1" applyFont="1" applyFill="1" applyBorder="1" applyAlignment="1">
      <alignment horizontal="center" vertical="center"/>
    </xf>
    <xf numFmtId="44" fontId="8" fillId="9" borderId="45" xfId="0" applyNumberFormat="1" applyFont="1" applyFill="1" applyBorder="1" applyAlignment="1">
      <alignment horizontal="center" vertical="center" wrapText="1"/>
    </xf>
    <xf numFmtId="44" fontId="8" fillId="9" borderId="10" xfId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wrapText="1"/>
    </xf>
    <xf numFmtId="0" fontId="8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44" fontId="6" fillId="9" borderId="1" xfId="1" applyFont="1" applyFill="1" applyBorder="1" applyAlignment="1">
      <alignment horizontal="center" vertical="center"/>
    </xf>
    <xf numFmtId="44" fontId="8" fillId="9" borderId="1" xfId="1" applyFont="1" applyFill="1" applyBorder="1" applyAlignment="1">
      <alignment horizontal="center" vertical="center"/>
    </xf>
    <xf numFmtId="44" fontId="8" fillId="9" borderId="1" xfId="0" applyNumberFormat="1" applyFont="1" applyFill="1" applyBorder="1" applyAlignment="1">
      <alignment horizontal="center" vertical="center" wrapText="1"/>
    </xf>
    <xf numFmtId="44" fontId="8" fillId="9" borderId="1" xfId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10" fillId="9" borderId="13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left" vertical="center" wrapText="1"/>
    </xf>
    <xf numFmtId="0" fontId="8" fillId="9" borderId="4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 wrapText="1"/>
    </xf>
    <xf numFmtId="44" fontId="8" fillId="9" borderId="4" xfId="1" applyFont="1" applyFill="1" applyBorder="1" applyAlignment="1">
      <alignment horizontal="center" vertical="center"/>
    </xf>
    <xf numFmtId="44" fontId="8" fillId="9" borderId="3" xfId="0" applyNumberFormat="1" applyFont="1" applyFill="1" applyBorder="1" applyAlignment="1">
      <alignment horizontal="center" vertical="center" wrapText="1"/>
    </xf>
    <xf numFmtId="44" fontId="8" fillId="9" borderId="4" xfId="1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 wrapText="1"/>
    </xf>
    <xf numFmtId="2" fontId="9" fillId="9" borderId="29" xfId="0" applyNumberFormat="1" applyFont="1" applyFill="1" applyBorder="1" applyAlignment="1">
      <alignment horizontal="left" vertical="center"/>
    </xf>
    <xf numFmtId="0" fontId="9" fillId="9" borderId="30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/>
    </xf>
    <xf numFmtId="0" fontId="7" fillId="9" borderId="31" xfId="0" applyFont="1" applyFill="1" applyBorder="1" applyAlignment="1">
      <alignment horizontal="center" vertical="center"/>
    </xf>
    <xf numFmtId="0" fontId="7" fillId="9" borderId="32" xfId="0" applyFont="1" applyFill="1" applyBorder="1" applyAlignment="1">
      <alignment horizontal="center" wrapText="1"/>
    </xf>
    <xf numFmtId="0" fontId="6" fillId="9" borderId="2" xfId="0" applyFont="1" applyFill="1" applyBorder="1" applyAlignment="1">
      <alignment horizontal="center" vertical="center"/>
    </xf>
    <xf numFmtId="44" fontId="7" fillId="9" borderId="2" xfId="1" applyFont="1" applyFill="1" applyBorder="1" applyAlignment="1">
      <alignment horizontal="center" vertical="center"/>
    </xf>
    <xf numFmtId="44" fontId="7" fillId="9" borderId="3" xfId="1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wrapText="1"/>
    </xf>
    <xf numFmtId="44" fontId="6" fillId="9" borderId="1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 vertical="center" wrapText="1"/>
    </xf>
    <xf numFmtId="44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left"/>
    </xf>
    <xf numFmtId="164" fontId="6" fillId="9" borderId="1" xfId="0" applyNumberFormat="1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left" wrapText="1"/>
    </xf>
    <xf numFmtId="0" fontId="6" fillId="9" borderId="19" xfId="0" applyFont="1" applyFill="1" applyBorder="1" applyAlignment="1">
      <alignment horizontal="center" vertical="center"/>
    </xf>
    <xf numFmtId="164" fontId="6" fillId="9" borderId="19" xfId="0" applyNumberFormat="1" applyFont="1" applyFill="1" applyBorder="1" applyAlignment="1">
      <alignment horizontal="center" vertical="center"/>
    </xf>
    <xf numFmtId="44" fontId="6" fillId="9" borderId="19" xfId="1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2" fontId="6" fillId="9" borderId="34" xfId="0" applyNumberFormat="1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center" wrapText="1"/>
    </xf>
    <xf numFmtId="44" fontId="6" fillId="9" borderId="10" xfId="1" applyFont="1" applyFill="1" applyBorder="1" applyAlignment="1">
      <alignment horizontal="center" vertical="center"/>
    </xf>
    <xf numFmtId="44" fontId="7" fillId="9" borderId="10" xfId="1" applyFont="1" applyFill="1" applyBorder="1" applyAlignment="1">
      <alignment horizontal="center" vertical="center"/>
    </xf>
    <xf numFmtId="2" fontId="6" fillId="9" borderId="36" xfId="0" applyNumberFormat="1" applyFont="1" applyFill="1" applyBorder="1" applyAlignment="1">
      <alignment horizontal="left" vertical="center"/>
    </xf>
    <xf numFmtId="0" fontId="7" fillId="9" borderId="8" xfId="0" applyFont="1" applyFill="1" applyBorder="1" applyAlignment="1">
      <alignment horizontal="left" wrapText="1"/>
    </xf>
    <xf numFmtId="44" fontId="10" fillId="9" borderId="19" xfId="0" applyNumberFormat="1" applyFont="1" applyFill="1" applyBorder="1" applyAlignment="1">
      <alignment horizontal="center" vertical="center"/>
    </xf>
    <xf numFmtId="2" fontId="6" fillId="9" borderId="10" xfId="0" applyNumberFormat="1" applyFont="1" applyFill="1" applyBorder="1" applyAlignment="1">
      <alignment horizontal="center" vertical="center"/>
    </xf>
    <xf numFmtId="2" fontId="6" fillId="9" borderId="1" xfId="0" applyNumberFormat="1" applyFont="1" applyFill="1" applyBorder="1" applyAlignment="1">
      <alignment horizontal="center" vertical="center"/>
    </xf>
    <xf numFmtId="2" fontId="6" fillId="9" borderId="19" xfId="0" applyNumberFormat="1" applyFont="1" applyFill="1" applyBorder="1" applyAlignment="1">
      <alignment horizontal="center" vertical="center"/>
    </xf>
    <xf numFmtId="44" fontId="6" fillId="9" borderId="19" xfId="0" applyNumberFormat="1" applyFont="1" applyFill="1" applyBorder="1" applyAlignment="1">
      <alignment horizontal="center" vertical="center"/>
    </xf>
    <xf numFmtId="2" fontId="6" fillId="9" borderId="10" xfId="2" applyNumberFormat="1" applyFont="1" applyFill="1" applyBorder="1" applyAlignment="1">
      <alignment horizontal="center" vertical="center"/>
    </xf>
    <xf numFmtId="2" fontId="6" fillId="9" borderId="1" xfId="2" applyNumberFormat="1" applyFont="1" applyFill="1" applyBorder="1" applyAlignment="1">
      <alignment horizontal="center" vertical="center"/>
    </xf>
    <xf numFmtId="2" fontId="6" fillId="9" borderId="19" xfId="2" applyNumberFormat="1" applyFont="1" applyFill="1" applyBorder="1" applyAlignment="1">
      <alignment horizontal="center" vertical="center"/>
    </xf>
    <xf numFmtId="44" fontId="7" fillId="9" borderId="2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44" fontId="7" fillId="9" borderId="10" xfId="0" applyNumberFormat="1" applyFont="1" applyFill="1" applyBorder="1" applyAlignment="1">
      <alignment horizontal="center" vertical="center"/>
    </xf>
    <xf numFmtId="44" fontId="7" fillId="9" borderId="1" xfId="1" applyFont="1" applyFill="1" applyBorder="1" applyAlignment="1">
      <alignment horizontal="center" vertical="center"/>
    </xf>
    <xf numFmtId="44" fontId="7" fillId="9" borderId="39" xfId="1" applyFont="1" applyFill="1" applyBorder="1" applyAlignment="1">
      <alignment horizontal="center" vertical="center"/>
    </xf>
    <xf numFmtId="44" fontId="7" fillId="9" borderId="36" xfId="0" applyNumberFormat="1" applyFont="1" applyFill="1" applyBorder="1" applyAlignment="1">
      <alignment horizontal="center" vertical="center"/>
    </xf>
    <xf numFmtId="44" fontId="7" fillId="9" borderId="43" xfId="0" applyNumberFormat="1" applyFont="1" applyFill="1" applyBorder="1" applyAlignment="1">
      <alignment horizontal="center" vertical="center"/>
    </xf>
    <xf numFmtId="44" fontId="7" fillId="9" borderId="42" xfId="0" applyNumberFormat="1" applyFont="1" applyFill="1" applyBorder="1" applyAlignment="1">
      <alignment horizontal="center" vertical="center"/>
    </xf>
    <xf numFmtId="44" fontId="11" fillId="9" borderId="30" xfId="0" applyNumberFormat="1" applyFont="1" applyFill="1" applyBorder="1" applyAlignment="1">
      <alignment horizontal="center" vertical="center"/>
    </xf>
    <xf numFmtId="44" fontId="22" fillId="9" borderId="31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/>
    </xf>
    <xf numFmtId="44" fontId="8" fillId="9" borderId="2" xfId="1" applyFont="1" applyFill="1" applyBorder="1" applyAlignment="1">
      <alignment horizontal="center" vertical="center"/>
    </xf>
    <xf numFmtId="44" fontId="8" fillId="9" borderId="2" xfId="0" applyNumberFormat="1" applyFont="1" applyFill="1" applyBorder="1" applyAlignment="1">
      <alignment horizontal="center" vertical="center"/>
    </xf>
    <xf numFmtId="44" fontId="8" fillId="9" borderId="71" xfId="0" applyNumberFormat="1" applyFont="1" applyFill="1" applyBorder="1" applyAlignment="1">
      <alignment horizontal="center" vertical="center"/>
    </xf>
    <xf numFmtId="44" fontId="8" fillId="9" borderId="0" xfId="0" applyNumberFormat="1" applyFont="1" applyFill="1" applyAlignment="1">
      <alignment horizontal="center" vertical="center"/>
    </xf>
    <xf numFmtId="44" fontId="8" fillId="9" borderId="32" xfId="0" applyNumberFormat="1" applyFont="1" applyFill="1" applyBorder="1" applyAlignment="1">
      <alignment horizontal="center" vertical="center"/>
    </xf>
    <xf numFmtId="44" fontId="10" fillId="9" borderId="6" xfId="0" applyNumberFormat="1" applyFont="1" applyFill="1" applyBorder="1" applyAlignment="1">
      <alignment horizontal="center" vertical="center"/>
    </xf>
    <xf numFmtId="44" fontId="6" fillId="9" borderId="7" xfId="1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left" vertical="center" wrapText="1"/>
    </xf>
    <xf numFmtId="44" fontId="10" fillId="9" borderId="15" xfId="0" applyNumberFormat="1" applyFont="1" applyFill="1" applyBorder="1" applyAlignment="1">
      <alignment horizontal="center" vertical="center"/>
    </xf>
    <xf numFmtId="44" fontId="6" fillId="9" borderId="14" xfId="1" applyFont="1" applyFill="1" applyBorder="1" applyAlignment="1">
      <alignment horizontal="center" vertical="center"/>
    </xf>
    <xf numFmtId="44" fontId="10" fillId="9" borderId="10" xfId="0" applyNumberFormat="1" applyFont="1" applyFill="1" applyBorder="1" applyAlignment="1">
      <alignment horizontal="center" vertical="center"/>
    </xf>
    <xf numFmtId="44" fontId="7" fillId="9" borderId="56" xfId="1" applyFont="1" applyFill="1" applyBorder="1" applyAlignment="1">
      <alignment horizontal="center" vertical="center"/>
    </xf>
    <xf numFmtId="44" fontId="8" fillId="9" borderId="57" xfId="0" applyNumberFormat="1" applyFont="1" applyFill="1" applyBorder="1" applyAlignment="1">
      <alignment horizontal="center" vertical="center"/>
    </xf>
    <xf numFmtId="44" fontId="7" fillId="9" borderId="8" xfId="1" applyFont="1" applyFill="1" applyBorder="1" applyAlignment="1">
      <alignment horizontal="center" vertical="center"/>
    </xf>
    <xf numFmtId="44" fontId="10" fillId="9" borderId="60" xfId="0" applyNumberFormat="1" applyFont="1" applyFill="1" applyBorder="1" applyAlignment="1">
      <alignment horizontal="center" vertical="center"/>
    </xf>
    <xf numFmtId="0" fontId="7" fillId="9" borderId="8" xfId="0" applyFont="1" applyFill="1" applyBorder="1" applyAlignment="1">
      <alignment horizontal="center" vertical="center" wrapText="1"/>
    </xf>
    <xf numFmtId="44" fontId="8" fillId="9" borderId="56" xfId="0" applyNumberFormat="1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/>
    </xf>
    <xf numFmtId="44" fontId="7" fillId="9" borderId="33" xfId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wrapText="1"/>
    </xf>
    <xf numFmtId="0" fontId="6" fillId="9" borderId="14" xfId="0" applyFont="1" applyFill="1" applyBorder="1" applyAlignment="1">
      <alignment wrapText="1"/>
    </xf>
    <xf numFmtId="164" fontId="6" fillId="9" borderId="10" xfId="0" applyNumberFormat="1" applyFont="1" applyFill="1" applyBorder="1" applyAlignment="1">
      <alignment horizontal="center" vertical="center"/>
    </xf>
    <xf numFmtId="44" fontId="8" fillId="9" borderId="10" xfId="0" applyNumberFormat="1" applyFont="1" applyFill="1" applyBorder="1" applyAlignment="1">
      <alignment horizontal="center" vertical="center"/>
    </xf>
    <xf numFmtId="44" fontId="8" fillId="9" borderId="33" xfId="0" applyNumberFormat="1" applyFont="1" applyFill="1" applyBorder="1" applyAlignment="1">
      <alignment horizontal="center" vertical="center"/>
    </xf>
    <xf numFmtId="44" fontId="10" fillId="9" borderId="10" xfId="1" applyFont="1" applyFill="1" applyBorder="1" applyAlignment="1">
      <alignment horizontal="center" vertical="center"/>
    </xf>
    <xf numFmtId="44" fontId="10" fillId="9" borderId="1" xfId="1" applyFont="1" applyFill="1" applyBorder="1" applyAlignment="1">
      <alignment horizontal="center" vertical="center"/>
    </xf>
    <xf numFmtId="44" fontId="10" fillId="9" borderId="19" xfId="1" applyFont="1" applyFill="1" applyBorder="1" applyAlignment="1">
      <alignment horizontal="center" vertical="center"/>
    </xf>
    <xf numFmtId="44" fontId="8" fillId="9" borderId="8" xfId="1" applyFont="1" applyFill="1" applyBorder="1" applyAlignment="1">
      <alignment horizontal="center" vertical="center"/>
    </xf>
    <xf numFmtId="44" fontId="10" fillId="9" borderId="7" xfId="1" applyFont="1" applyFill="1" applyBorder="1" applyAlignment="1">
      <alignment horizontal="center" vertical="center"/>
    </xf>
    <xf numFmtId="44" fontId="10" fillId="9" borderId="14" xfId="1" applyFont="1" applyFill="1" applyBorder="1" applyAlignment="1">
      <alignment horizontal="center" vertical="center"/>
    </xf>
    <xf numFmtId="44" fontId="7" fillId="9" borderId="8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44" fontId="6" fillId="9" borderId="2" xfId="1" applyFont="1" applyFill="1" applyBorder="1" applyAlignment="1">
      <alignment horizontal="center" vertical="center"/>
    </xf>
    <xf numFmtId="44" fontId="7" fillId="9" borderId="32" xfId="0" applyNumberFormat="1" applyFont="1" applyFill="1" applyBorder="1" applyAlignment="1">
      <alignment horizontal="center" vertical="center"/>
    </xf>
    <xf numFmtId="0" fontId="6" fillId="9" borderId="7" xfId="0" applyFont="1" applyFill="1" applyBorder="1" applyAlignment="1">
      <alignment vertical="center" wrapText="1"/>
    </xf>
    <xf numFmtId="44" fontId="6" fillId="9" borderId="7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vertical="center" wrapText="1"/>
    </xf>
    <xf numFmtId="164" fontId="6" fillId="9" borderId="4" xfId="0" applyNumberFormat="1" applyFont="1" applyFill="1" applyBorder="1" applyAlignment="1">
      <alignment horizontal="center" vertical="center"/>
    </xf>
    <xf numFmtId="44" fontId="6" fillId="9" borderId="4" xfId="1" applyFont="1" applyFill="1" applyBorder="1" applyAlignment="1">
      <alignment horizontal="center" vertical="center"/>
    </xf>
    <xf numFmtId="44" fontId="6" fillId="9" borderId="26" xfId="0" applyNumberFormat="1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2" fontId="6" fillId="9" borderId="34" xfId="0" applyNumberFormat="1" applyFont="1" applyFill="1" applyBorder="1" applyAlignment="1">
      <alignment horizontal="left"/>
    </xf>
    <xf numFmtId="44" fontId="8" fillId="9" borderId="1" xfId="0" applyNumberFormat="1" applyFont="1" applyFill="1" applyBorder="1" applyAlignment="1">
      <alignment horizontal="center" vertical="center"/>
    </xf>
    <xf numFmtId="2" fontId="6" fillId="9" borderId="35" xfId="0" applyNumberFormat="1" applyFont="1" applyFill="1" applyBorder="1" applyAlignment="1">
      <alignment horizontal="left"/>
    </xf>
    <xf numFmtId="0" fontId="6" fillId="9" borderId="14" xfId="0" applyFont="1" applyFill="1" applyBorder="1" applyAlignment="1">
      <alignment vertical="center" wrapText="1"/>
    </xf>
    <xf numFmtId="44" fontId="6" fillId="9" borderId="14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2" fontId="10" fillId="9" borderId="34" xfId="0" applyNumberFormat="1" applyFont="1" applyFill="1" applyBorder="1" applyAlignment="1">
      <alignment horizontal="left" vertical="center"/>
    </xf>
    <xf numFmtId="2" fontId="10" fillId="9" borderId="35" xfId="0" applyNumberFormat="1" applyFont="1" applyFill="1" applyBorder="1" applyAlignment="1">
      <alignment horizontal="left" vertical="center"/>
    </xf>
    <xf numFmtId="44" fontId="10" fillId="9" borderId="2" xfId="0" applyNumberFormat="1" applyFont="1" applyFill="1" applyBorder="1" applyAlignment="1">
      <alignment horizontal="center" vertical="center"/>
    </xf>
    <xf numFmtId="44" fontId="6" fillId="9" borderId="4" xfId="0" applyNumberFormat="1" applyFont="1" applyFill="1" applyBorder="1" applyAlignment="1">
      <alignment horizontal="center" vertical="center"/>
    </xf>
    <xf numFmtId="44" fontId="10" fillId="9" borderId="25" xfId="0" applyNumberFormat="1" applyFont="1" applyFill="1" applyBorder="1" applyAlignment="1">
      <alignment horizontal="center" vertical="center"/>
    </xf>
    <xf numFmtId="44" fontId="10" fillId="9" borderId="4" xfId="0" applyNumberFormat="1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left" wrapText="1"/>
    </xf>
    <xf numFmtId="0" fontId="10" fillId="9" borderId="14" xfId="0" applyFont="1" applyFill="1" applyBorder="1" applyAlignment="1">
      <alignment horizontal="left" wrapText="1"/>
    </xf>
    <xf numFmtId="44" fontId="8" fillId="9" borderId="37" xfId="0" applyNumberFormat="1" applyFont="1" applyFill="1" applyBorder="1" applyAlignment="1">
      <alignment horizontal="center" vertical="center"/>
    </xf>
    <xf numFmtId="44" fontId="8" fillId="9" borderId="42" xfId="0" applyNumberFormat="1" applyFont="1" applyFill="1" applyBorder="1" applyAlignment="1">
      <alignment horizontal="center" vertical="center"/>
    </xf>
    <xf numFmtId="44" fontId="10" fillId="9" borderId="33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horizontal="left" wrapText="1"/>
    </xf>
    <xf numFmtId="44" fontId="6" fillId="9" borderId="26" xfId="1" applyFont="1" applyFill="1" applyBorder="1" applyAlignment="1">
      <alignment horizontal="center" vertical="center"/>
    </xf>
    <xf numFmtId="2" fontId="6" fillId="9" borderId="39" xfId="0" applyNumberFormat="1" applyFont="1" applyFill="1" applyBorder="1" applyAlignment="1">
      <alignment horizontal="left"/>
    </xf>
    <xf numFmtId="0" fontId="6" fillId="9" borderId="30" xfId="0" applyFont="1" applyFill="1" applyBorder="1" applyAlignment="1">
      <alignment horizontal="center" vertical="center"/>
    </xf>
    <xf numFmtId="44" fontId="6" fillId="9" borderId="30" xfId="1" applyFont="1" applyFill="1" applyBorder="1" applyAlignment="1">
      <alignment horizontal="center" vertical="center"/>
    </xf>
    <xf numFmtId="44" fontId="7" fillId="9" borderId="30" xfId="0" applyNumberFormat="1" applyFont="1" applyFill="1" applyBorder="1" applyAlignment="1">
      <alignment horizontal="center" vertical="center"/>
    </xf>
    <xf numFmtId="44" fontId="6" fillId="9" borderId="42" xfId="0" applyNumberFormat="1" applyFont="1" applyFill="1" applyBorder="1" applyAlignment="1">
      <alignment horizontal="center" vertical="center"/>
    </xf>
    <xf numFmtId="44" fontId="7" fillId="9" borderId="21" xfId="1" applyFont="1" applyFill="1" applyBorder="1" applyAlignment="1">
      <alignment horizontal="center" vertical="center"/>
    </xf>
    <xf numFmtId="0" fontId="10" fillId="9" borderId="31" xfId="0" applyFont="1" applyFill="1" applyBorder="1" applyAlignment="1">
      <alignment horizontal="center" vertical="center"/>
    </xf>
    <xf numFmtId="2" fontId="10" fillId="9" borderId="21" xfId="0" applyNumberFormat="1" applyFont="1" applyFill="1" applyBorder="1" applyAlignment="1">
      <alignment horizontal="left" wrapText="1"/>
    </xf>
    <xf numFmtId="0" fontId="10" fillId="9" borderId="30" xfId="0" applyFont="1" applyFill="1" applyBorder="1" applyAlignment="1">
      <alignment horizontal="center" vertical="center"/>
    </xf>
    <xf numFmtId="44" fontId="10" fillId="9" borderId="30" xfId="1" applyFont="1" applyFill="1" applyBorder="1" applyAlignment="1">
      <alignment horizontal="center" vertical="center"/>
    </xf>
    <xf numFmtId="44" fontId="8" fillId="9" borderId="30" xfId="1" applyFont="1" applyFill="1" applyBorder="1" applyAlignment="1">
      <alignment horizontal="center" vertical="center"/>
    </xf>
    <xf numFmtId="44" fontId="8" fillId="9" borderId="30" xfId="0" applyNumberFormat="1" applyFont="1" applyFill="1" applyBorder="1" applyAlignment="1">
      <alignment horizontal="center" vertical="center"/>
    </xf>
    <xf numFmtId="44" fontId="8" fillId="9" borderId="22" xfId="0" applyNumberFormat="1" applyFont="1" applyFill="1" applyBorder="1" applyAlignment="1">
      <alignment horizontal="center" vertical="center"/>
    </xf>
    <xf numFmtId="2" fontId="6" fillId="9" borderId="36" xfId="0" applyNumberFormat="1" applyFont="1" applyFill="1" applyBorder="1" applyAlignment="1">
      <alignment horizontal="left"/>
    </xf>
    <xf numFmtId="2" fontId="23" fillId="9" borderId="43" xfId="0" applyNumberFormat="1" applyFont="1" applyFill="1" applyBorder="1" applyAlignment="1">
      <alignment horizontal="left" wrapText="1"/>
    </xf>
    <xf numFmtId="0" fontId="10" fillId="9" borderId="42" xfId="0" applyFont="1" applyFill="1" applyBorder="1" applyAlignment="1">
      <alignment horizontal="center" vertical="center"/>
    </xf>
    <xf numFmtId="44" fontId="10" fillId="9" borderId="42" xfId="1" applyFont="1" applyFill="1" applyBorder="1" applyAlignment="1">
      <alignment horizontal="center" vertical="center"/>
    </xf>
    <xf numFmtId="44" fontId="10" fillId="9" borderId="42" xfId="0" applyNumberFormat="1" applyFont="1" applyFill="1" applyBorder="1" applyAlignment="1">
      <alignment horizontal="center" vertical="center"/>
    </xf>
    <xf numFmtId="44" fontId="8" fillId="9" borderId="72" xfId="0" applyNumberFormat="1" applyFont="1" applyFill="1" applyBorder="1" applyAlignment="1">
      <alignment horizontal="center" vertical="center"/>
    </xf>
    <xf numFmtId="44" fontId="8" fillId="9" borderId="43" xfId="1" applyFont="1" applyFill="1" applyBorder="1" applyAlignment="1">
      <alignment horizontal="center" vertical="center"/>
    </xf>
    <xf numFmtId="0" fontId="10" fillId="9" borderId="54" xfId="0" applyFont="1" applyFill="1" applyBorder="1" applyAlignment="1">
      <alignment horizontal="center" vertical="center"/>
    </xf>
    <xf numFmtId="44" fontId="7" fillId="9" borderId="72" xfId="0" applyNumberFormat="1" applyFont="1" applyFill="1" applyBorder="1" applyAlignment="1">
      <alignment horizontal="center" vertical="center"/>
    </xf>
    <xf numFmtId="44" fontId="11" fillId="9" borderId="43" xfId="0" applyNumberFormat="1" applyFont="1" applyFill="1" applyBorder="1" applyAlignment="1">
      <alignment horizontal="center" vertical="center"/>
    </xf>
    <xf numFmtId="44" fontId="11" fillId="9" borderId="42" xfId="0" applyNumberFormat="1" applyFont="1" applyFill="1" applyBorder="1" applyAlignment="1">
      <alignment horizontal="center" vertical="center"/>
    </xf>
    <xf numFmtId="44" fontId="22" fillId="9" borderId="54" xfId="0" applyNumberFormat="1" applyFont="1" applyFill="1" applyBorder="1" applyAlignment="1">
      <alignment horizontal="center" vertical="center"/>
    </xf>
    <xf numFmtId="2" fontId="9" fillId="9" borderId="40" xfId="0" applyNumberFormat="1" applyFont="1" applyFill="1" applyBorder="1" applyAlignment="1">
      <alignment horizontal="left" vertical="center"/>
    </xf>
    <xf numFmtId="0" fontId="9" fillId="9" borderId="45" xfId="0" applyFont="1" applyFill="1" applyBorder="1" applyAlignment="1">
      <alignment horizontal="center" vertical="center" wrapText="1"/>
    </xf>
    <xf numFmtId="0" fontId="9" fillId="9" borderId="45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horizontal="center" vertical="center"/>
    </xf>
    <xf numFmtId="0" fontId="9" fillId="9" borderId="69" xfId="0" applyFont="1" applyFill="1" applyBorder="1" applyAlignment="1">
      <alignment horizontal="center" vertical="center"/>
    </xf>
    <xf numFmtId="0" fontId="7" fillId="9" borderId="45" xfId="0" applyFont="1" applyFill="1" applyBorder="1" applyAlignment="1">
      <alignment horizontal="center" vertical="center"/>
    </xf>
    <xf numFmtId="0" fontId="7" fillId="9" borderId="44" xfId="0" applyFont="1" applyFill="1" applyBorder="1" applyAlignment="1">
      <alignment horizontal="center" wrapText="1"/>
    </xf>
    <xf numFmtId="0" fontId="9" fillId="9" borderId="10" xfId="0" applyFont="1" applyFill="1" applyBorder="1" applyAlignment="1">
      <alignment horizontal="center" vertical="center"/>
    </xf>
    <xf numFmtId="44" fontId="8" fillId="9" borderId="70" xfId="0" applyNumberFormat="1" applyFont="1" applyFill="1" applyBorder="1" applyAlignment="1">
      <alignment horizontal="center" vertical="center"/>
    </xf>
    <xf numFmtId="44" fontId="8" fillId="9" borderId="8" xfId="0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wrapText="1"/>
    </xf>
    <xf numFmtId="44" fontId="6" fillId="9" borderId="6" xfId="0" applyNumberFormat="1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left" wrapText="1"/>
    </xf>
    <xf numFmtId="0" fontId="10" fillId="9" borderId="41" xfId="0" applyFont="1" applyFill="1" applyBorder="1" applyAlignment="1">
      <alignment horizontal="left" wrapText="1"/>
    </xf>
    <xf numFmtId="0" fontId="7" fillId="9" borderId="8" xfId="0" applyFont="1" applyFill="1" applyBorder="1" applyAlignment="1">
      <alignment wrapText="1"/>
    </xf>
    <xf numFmtId="2" fontId="6" fillId="9" borderId="34" xfId="0" applyNumberFormat="1" applyFont="1" applyFill="1" applyBorder="1" applyAlignment="1">
      <alignment vertical="center" wrapText="1"/>
    </xf>
    <xf numFmtId="2" fontId="6" fillId="9" borderId="35" xfId="0" applyNumberFormat="1" applyFont="1" applyFill="1" applyBorder="1" applyAlignment="1">
      <alignment vertical="center" wrapText="1"/>
    </xf>
    <xf numFmtId="2" fontId="6" fillId="9" borderId="36" xfId="0" applyNumberFormat="1" applyFont="1" applyFill="1" applyBorder="1" applyAlignment="1">
      <alignment vertical="center" wrapText="1"/>
    </xf>
    <xf numFmtId="0" fontId="7" fillId="9" borderId="14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/>
    </xf>
    <xf numFmtId="44" fontId="11" fillId="9" borderId="10" xfId="0" applyNumberFormat="1" applyFont="1" applyFill="1" applyBorder="1" applyAlignment="1">
      <alignment horizontal="center" vertical="center"/>
    </xf>
    <xf numFmtId="44" fontId="11" fillId="9" borderId="56" xfId="0" applyNumberFormat="1" applyFont="1" applyFill="1" applyBorder="1" applyAlignment="1">
      <alignment horizontal="center" vertical="center"/>
    </xf>
    <xf numFmtId="44" fontId="11" fillId="9" borderId="2" xfId="0" applyNumberFormat="1" applyFont="1" applyFill="1" applyBorder="1" applyAlignment="1">
      <alignment horizontal="center" vertical="center"/>
    </xf>
    <xf numFmtId="44" fontId="11" fillId="9" borderId="8" xfId="0" applyNumberFormat="1" applyFont="1" applyFill="1" applyBorder="1" applyAlignment="1">
      <alignment horizontal="center" vertical="center"/>
    </xf>
    <xf numFmtId="44" fontId="22" fillId="9" borderId="11" xfId="0" applyNumberFormat="1" applyFont="1" applyFill="1" applyBorder="1" applyAlignment="1">
      <alignment horizontal="center" vertical="center"/>
    </xf>
    <xf numFmtId="2" fontId="9" fillId="9" borderId="18" xfId="0" applyNumberFormat="1" applyFont="1" applyFill="1" applyBorder="1" applyAlignment="1">
      <alignment horizontal="left" vertical="center"/>
    </xf>
    <xf numFmtId="0" fontId="9" fillId="9" borderId="19" xfId="0" applyFont="1" applyFill="1" applyBorder="1" applyAlignment="1">
      <alignment horizontal="center" vertical="center" wrapText="1"/>
    </xf>
    <xf numFmtId="0" fontId="9" fillId="9" borderId="15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left" wrapText="1"/>
    </xf>
    <xf numFmtId="0" fontId="8" fillId="9" borderId="8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wrapText="1"/>
    </xf>
    <xf numFmtId="44" fontId="6" fillId="9" borderId="30" xfId="0" applyNumberFormat="1" applyFont="1" applyFill="1" applyBorder="1" applyAlignment="1">
      <alignment horizontal="center" vertical="center"/>
    </xf>
    <xf numFmtId="44" fontId="10" fillId="9" borderId="72" xfId="0" applyNumberFormat="1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wrapText="1"/>
    </xf>
    <xf numFmtId="0" fontId="10" fillId="9" borderId="7" xfId="0" applyFont="1" applyFill="1" applyBorder="1" applyAlignment="1">
      <alignment horizontal="center" vertical="center"/>
    </xf>
    <xf numFmtId="0" fontId="10" fillId="9" borderId="14" xfId="0" applyFont="1" applyFill="1" applyBorder="1" applyAlignment="1">
      <alignment wrapText="1"/>
    </xf>
    <xf numFmtId="44" fontId="6" fillId="9" borderId="45" xfId="1" applyFont="1" applyFill="1" applyBorder="1" applyAlignment="1">
      <alignment horizontal="center" vertical="center"/>
    </xf>
    <xf numFmtId="44" fontId="7" fillId="9" borderId="45" xfId="1" applyFont="1" applyFill="1" applyBorder="1" applyAlignment="1">
      <alignment horizontal="center" vertical="center"/>
    </xf>
    <xf numFmtId="44" fontId="7" fillId="9" borderId="45" xfId="0" applyNumberFormat="1" applyFont="1" applyFill="1" applyBorder="1" applyAlignment="1">
      <alignment horizontal="center" vertical="center"/>
    </xf>
    <xf numFmtId="0" fontId="6" fillId="9" borderId="32" xfId="0" applyFont="1" applyFill="1" applyBorder="1" applyAlignment="1">
      <alignment horizontal="left" wrapText="1"/>
    </xf>
    <xf numFmtId="2" fontId="6" fillId="9" borderId="40" xfId="0" applyNumberFormat="1" applyFont="1" applyFill="1" applyBorder="1"/>
    <xf numFmtId="0" fontId="6" fillId="9" borderId="30" xfId="0" applyFont="1" applyFill="1" applyBorder="1" applyAlignment="1">
      <alignment wrapText="1"/>
    </xf>
    <xf numFmtId="44" fontId="7" fillId="9" borderId="30" xfId="1" applyFont="1" applyFill="1" applyBorder="1" applyAlignment="1">
      <alignment horizontal="center" vertical="center"/>
    </xf>
    <xf numFmtId="44" fontId="7" fillId="9" borderId="21" xfId="0" applyNumberFormat="1" applyFont="1" applyFill="1" applyBorder="1" applyAlignment="1">
      <alignment horizontal="center" vertical="center"/>
    </xf>
    <xf numFmtId="0" fontId="6" fillId="9" borderId="8" xfId="0" applyFont="1" applyFill="1" applyBorder="1" applyAlignment="1">
      <alignment wrapText="1"/>
    </xf>
    <xf numFmtId="0" fontId="0" fillId="9" borderId="15" xfId="0" applyFill="1" applyBorder="1" applyAlignment="1">
      <alignment horizontal="center" vertical="center"/>
    </xf>
    <xf numFmtId="44" fontId="0" fillId="9" borderId="15" xfId="1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vertical="center"/>
    </xf>
    <xf numFmtId="44" fontId="1" fillId="9" borderId="8" xfId="0" applyNumberFormat="1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left" wrapText="1"/>
    </xf>
    <xf numFmtId="44" fontId="10" fillId="9" borderId="45" xfId="0" applyNumberFormat="1" applyFont="1" applyFill="1" applyBorder="1" applyAlignment="1">
      <alignment horizontal="center" vertical="center"/>
    </xf>
    <xf numFmtId="44" fontId="6" fillId="9" borderId="10" xfId="0" applyNumberFormat="1" applyFont="1" applyFill="1" applyBorder="1" applyAlignment="1">
      <alignment horizontal="center" vertical="center"/>
    </xf>
    <xf numFmtId="2" fontId="6" fillId="9" borderId="5" xfId="0" applyNumberFormat="1" applyFont="1" applyFill="1" applyBorder="1" applyAlignment="1">
      <alignment vertical="center"/>
    </xf>
    <xf numFmtId="0" fontId="13" fillId="9" borderId="1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left" vertical="center" wrapText="1"/>
    </xf>
    <xf numFmtId="0" fontId="10" fillId="9" borderId="18" xfId="0" applyFont="1" applyFill="1" applyBorder="1" applyAlignment="1">
      <alignment horizontal="left" vertical="center" wrapText="1"/>
    </xf>
    <xf numFmtId="0" fontId="10" fillId="9" borderId="19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left" vertical="center" wrapText="1"/>
    </xf>
    <xf numFmtId="44" fontId="10" fillId="9" borderId="2" xfId="1" applyFont="1" applyFill="1" applyBorder="1" applyAlignment="1">
      <alignment horizontal="center" vertical="center"/>
    </xf>
    <xf numFmtId="44" fontId="6" fillId="9" borderId="2" xfId="0" applyNumberFormat="1" applyFont="1" applyFill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0" fontId="10" fillId="9" borderId="23" xfId="0" applyFont="1" applyFill="1" applyBorder="1" applyAlignment="1">
      <alignment horizontal="left" vertical="center" wrapText="1"/>
    </xf>
    <xf numFmtId="164" fontId="10" fillId="9" borderId="4" xfId="0" applyNumberFormat="1" applyFont="1" applyFill="1" applyBorder="1" applyAlignment="1">
      <alignment horizontal="center" vertical="center"/>
    </xf>
    <xf numFmtId="44" fontId="10" fillId="9" borderId="4" xfId="1" applyFont="1" applyFill="1" applyBorder="1" applyAlignment="1">
      <alignment horizontal="center" vertical="center"/>
    </xf>
    <xf numFmtId="2" fontId="6" fillId="9" borderId="50" xfId="0" applyNumberFormat="1" applyFont="1" applyFill="1" applyBorder="1" applyAlignment="1">
      <alignment vertical="center"/>
    </xf>
    <xf numFmtId="0" fontId="10" fillId="9" borderId="18" xfId="0" applyFont="1" applyFill="1" applyBorder="1" applyAlignment="1">
      <alignment horizontal="left" wrapText="1"/>
    </xf>
    <xf numFmtId="2" fontId="6" fillId="9" borderId="0" xfId="0" applyNumberFormat="1" applyFont="1" applyFill="1" applyAlignment="1">
      <alignment vertical="center"/>
    </xf>
    <xf numFmtId="0" fontId="10" fillId="9" borderId="0" xfId="0" applyFont="1" applyFill="1" applyAlignment="1">
      <alignment horizontal="left" wrapText="1"/>
    </xf>
    <xf numFmtId="0" fontId="6" fillId="9" borderId="0" xfId="0" applyFont="1" applyFill="1" applyAlignment="1">
      <alignment horizontal="center" vertical="center"/>
    </xf>
    <xf numFmtId="44" fontId="6" fillId="9" borderId="75" xfId="1" applyFont="1" applyFill="1" applyBorder="1" applyAlignment="1">
      <alignment horizontal="center" vertical="center"/>
    </xf>
    <xf numFmtId="44" fontId="6" fillId="9" borderId="3" xfId="1" applyFont="1" applyFill="1" applyBorder="1" applyAlignment="1">
      <alignment horizontal="center" vertical="center"/>
    </xf>
    <xf numFmtId="44" fontId="6" fillId="9" borderId="3" xfId="0" applyNumberFormat="1" applyFont="1" applyFill="1" applyBorder="1" applyAlignment="1">
      <alignment horizontal="center" vertical="center"/>
    </xf>
    <xf numFmtId="44" fontId="10" fillId="9" borderId="71" xfId="0" applyNumberFormat="1" applyFont="1" applyFill="1" applyBorder="1" applyAlignment="1">
      <alignment horizontal="center" vertical="center"/>
    </xf>
    <xf numFmtId="44" fontId="10" fillId="9" borderId="3" xfId="0" applyNumberFormat="1" applyFont="1" applyFill="1" applyBorder="1" applyAlignment="1">
      <alignment horizontal="center" vertical="center"/>
    </xf>
    <xf numFmtId="44" fontId="6" fillId="9" borderId="75" xfId="0" applyNumberFormat="1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10" fillId="9" borderId="71" xfId="0" applyFont="1" applyFill="1" applyBorder="1" applyAlignment="1">
      <alignment horizontal="center" vertical="center"/>
    </xf>
    <xf numFmtId="44" fontId="7" fillId="9" borderId="33" xfId="0" applyNumberFormat="1" applyFont="1" applyFill="1" applyBorder="1" applyAlignment="1">
      <alignment horizontal="center" vertical="center"/>
    </xf>
    <xf numFmtId="44" fontId="11" fillId="9" borderId="32" xfId="0" applyNumberFormat="1" applyFont="1" applyFill="1" applyBorder="1" applyAlignment="1">
      <alignment horizontal="center" vertical="center"/>
    </xf>
    <xf numFmtId="44" fontId="22" fillId="9" borderId="2" xfId="0" applyNumberFormat="1" applyFont="1" applyFill="1" applyBorder="1" applyAlignment="1">
      <alignment horizontal="center" vertical="center"/>
    </xf>
    <xf numFmtId="2" fontId="9" fillId="9" borderId="4" xfId="0" applyNumberFormat="1" applyFont="1" applyFill="1" applyBorder="1" applyAlignment="1">
      <alignment horizontal="left" vertical="center"/>
    </xf>
    <xf numFmtId="0" fontId="9" fillId="9" borderId="4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/>
    </xf>
    <xf numFmtId="0" fontId="9" fillId="9" borderId="25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26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44" fontId="8" fillId="9" borderId="70" xfId="1" applyFont="1" applyFill="1" applyBorder="1" applyAlignment="1">
      <alignment horizontal="center" vertical="center"/>
    </xf>
    <xf numFmtId="44" fontId="10" fillId="9" borderId="6" xfId="1" applyFont="1" applyFill="1" applyBorder="1" applyAlignment="1">
      <alignment horizontal="center" vertical="center"/>
    </xf>
    <xf numFmtId="0" fontId="10" fillId="9" borderId="26" xfId="0" applyFont="1" applyFill="1" applyBorder="1" applyAlignment="1">
      <alignment wrapText="1"/>
    </xf>
    <xf numFmtId="0" fontId="10" fillId="9" borderId="21" xfId="0" applyFont="1" applyFill="1" applyBorder="1" applyAlignment="1">
      <alignment wrapText="1"/>
    </xf>
    <xf numFmtId="44" fontId="7" fillId="9" borderId="56" xfId="0" applyNumberFormat="1" applyFont="1" applyFill="1" applyBorder="1" applyAlignment="1">
      <alignment horizontal="center" vertical="center"/>
    </xf>
    <xf numFmtId="44" fontId="10" fillId="9" borderId="15" xfId="1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44" fontId="7" fillId="9" borderId="71" xfId="1" applyFont="1" applyFill="1" applyBorder="1" applyAlignment="1">
      <alignment horizontal="center" vertical="center"/>
    </xf>
    <xf numFmtId="44" fontId="7" fillId="9" borderId="6" xfId="1" applyFont="1" applyFill="1" applyBorder="1" applyAlignment="1">
      <alignment horizontal="center" vertical="center"/>
    </xf>
    <xf numFmtId="44" fontId="6" fillId="9" borderId="1" xfId="1" applyFont="1" applyFill="1" applyBorder="1" applyAlignment="1">
      <alignment vertical="center"/>
    </xf>
    <xf numFmtId="44" fontId="6" fillId="9" borderId="6" xfId="1" applyFont="1" applyFill="1" applyBorder="1" applyAlignment="1">
      <alignment horizontal="center" vertical="center"/>
    </xf>
    <xf numFmtId="168" fontId="6" fillId="9" borderId="1" xfId="0" applyNumberFormat="1" applyFont="1" applyFill="1" applyBorder="1" applyAlignment="1">
      <alignment horizontal="center" vertical="center"/>
    </xf>
    <xf numFmtId="0" fontId="6" fillId="9" borderId="26" xfId="0" applyFont="1" applyFill="1" applyBorder="1" applyAlignment="1">
      <alignment wrapText="1"/>
    </xf>
    <xf numFmtId="0" fontId="7" fillId="9" borderId="51" xfId="0" applyFont="1" applyFill="1" applyBorder="1" applyAlignment="1">
      <alignment horizontal="center" wrapText="1"/>
    </xf>
    <xf numFmtId="0" fontId="7" fillId="9" borderId="8" xfId="0" applyFont="1" applyFill="1" applyBorder="1" applyAlignment="1">
      <alignment horizontal="center" vertical="center"/>
    </xf>
    <xf numFmtId="0" fontId="6" fillId="9" borderId="52" xfId="0" applyFont="1" applyFill="1" applyBorder="1" applyAlignment="1">
      <alignment wrapText="1"/>
    </xf>
    <xf numFmtId="0" fontId="6" fillId="9" borderId="53" xfId="0" applyFont="1" applyFill="1" applyBorder="1" applyAlignment="1">
      <alignment wrapText="1"/>
    </xf>
    <xf numFmtId="0" fontId="7" fillId="9" borderId="21" xfId="0" applyFont="1" applyFill="1" applyBorder="1" applyAlignment="1">
      <alignment horizontal="left" wrapText="1"/>
    </xf>
    <xf numFmtId="44" fontId="7" fillId="9" borderId="42" xfId="1" applyFont="1" applyFill="1" applyBorder="1" applyAlignment="1">
      <alignment horizontal="center" vertical="center"/>
    </xf>
    <xf numFmtId="0" fontId="7" fillId="9" borderId="43" xfId="0" applyFont="1" applyFill="1" applyBorder="1" applyAlignment="1">
      <alignment horizontal="left" wrapText="1"/>
    </xf>
    <xf numFmtId="0" fontId="6" fillId="9" borderId="42" xfId="0" applyFont="1" applyFill="1" applyBorder="1" applyAlignment="1">
      <alignment horizontal="center" vertical="center"/>
    </xf>
    <xf numFmtId="44" fontId="6" fillId="9" borderId="42" xfId="1" applyFont="1" applyFill="1" applyBorder="1" applyAlignment="1">
      <alignment horizontal="center" vertical="center"/>
    </xf>
    <xf numFmtId="44" fontId="7" fillId="9" borderId="43" xfId="1" applyFont="1" applyFill="1" applyBorder="1" applyAlignment="1">
      <alignment horizontal="center" vertical="center"/>
    </xf>
    <xf numFmtId="2" fontId="9" fillId="9" borderId="23" xfId="0" applyNumberFormat="1" applyFont="1" applyFill="1" applyBorder="1" applyAlignment="1">
      <alignment horizontal="left" vertical="center"/>
    </xf>
    <xf numFmtId="2" fontId="6" fillId="9" borderId="9" xfId="0" applyNumberFormat="1" applyFont="1" applyFill="1" applyBorder="1" applyAlignment="1">
      <alignment vertical="center"/>
    </xf>
    <xf numFmtId="4" fontId="7" fillId="9" borderId="10" xfId="0" applyNumberFormat="1" applyFont="1" applyFill="1" applyBorder="1" applyAlignment="1">
      <alignment horizontal="center" wrapText="1"/>
    </xf>
    <xf numFmtId="44" fontId="8" fillId="9" borderId="6" xfId="0" applyNumberFormat="1" applyFont="1" applyFill="1" applyBorder="1" applyAlignment="1">
      <alignment horizontal="center" vertical="center"/>
    </xf>
    <xf numFmtId="2" fontId="6" fillId="9" borderId="16" xfId="0" applyNumberFormat="1" applyFont="1" applyFill="1" applyBorder="1" applyAlignment="1">
      <alignment vertical="center"/>
    </xf>
    <xf numFmtId="44" fontId="7" fillId="9" borderId="7" xfId="0" applyNumberFormat="1" applyFont="1" applyFill="1" applyBorder="1" applyAlignment="1">
      <alignment horizontal="center" vertical="center"/>
    </xf>
    <xf numFmtId="2" fontId="6" fillId="9" borderId="18" xfId="0" applyNumberFormat="1" applyFont="1" applyFill="1" applyBorder="1" applyAlignment="1">
      <alignment vertical="center"/>
    </xf>
    <xf numFmtId="0" fontId="6" fillId="9" borderId="19" xfId="0" applyFont="1" applyFill="1" applyBorder="1" applyAlignment="1">
      <alignment wrapText="1"/>
    </xf>
    <xf numFmtId="44" fontId="8" fillId="9" borderId="19" xfId="0" applyNumberFormat="1" applyFont="1" applyFill="1" applyBorder="1" applyAlignment="1">
      <alignment horizontal="center" vertical="center"/>
    </xf>
    <xf numFmtId="44" fontId="7" fillId="9" borderId="14" xfId="0" applyNumberFormat="1" applyFont="1" applyFill="1" applyBorder="1" applyAlignment="1">
      <alignment horizontal="center" vertical="center"/>
    </xf>
    <xf numFmtId="2" fontId="6" fillId="9" borderId="12" xfId="0" applyNumberFormat="1" applyFont="1" applyFill="1" applyBorder="1" applyAlignment="1">
      <alignment vertical="center"/>
    </xf>
    <xf numFmtId="4" fontId="7" fillId="9" borderId="2" xfId="0" applyNumberFormat="1" applyFont="1" applyFill="1" applyBorder="1" applyAlignment="1">
      <alignment horizontal="center" wrapText="1"/>
    </xf>
    <xf numFmtId="0" fontId="0" fillId="9" borderId="0" xfId="0" applyFill="1" applyAlignment="1">
      <alignment horizontal="center" vertical="center"/>
    </xf>
    <xf numFmtId="2" fontId="6" fillId="9" borderId="23" xfId="0" applyNumberFormat="1" applyFont="1" applyFill="1" applyBorder="1" applyAlignment="1">
      <alignment vertical="center"/>
    </xf>
    <xf numFmtId="0" fontId="6" fillId="9" borderId="4" xfId="0" applyFont="1" applyFill="1" applyBorder="1" applyAlignment="1">
      <alignment wrapText="1"/>
    </xf>
    <xf numFmtId="44" fontId="7" fillId="9" borderId="26" xfId="0" applyNumberFormat="1" applyFont="1" applyFill="1" applyBorder="1" applyAlignment="1">
      <alignment horizontal="center" vertical="center"/>
    </xf>
    <xf numFmtId="4" fontId="8" fillId="9" borderId="10" xfId="3" applyNumberFormat="1" applyFont="1" applyFill="1" applyBorder="1" applyAlignment="1" applyProtection="1">
      <alignment horizontal="center" vertical="center" wrapText="1"/>
      <protection locked="0"/>
    </xf>
    <xf numFmtId="4" fontId="10" fillId="9" borderId="1" xfId="3" applyNumberFormat="1" applyFont="1" applyFill="1" applyBorder="1" applyAlignment="1" applyProtection="1">
      <alignment vertical="center" wrapText="1"/>
      <protection locked="0"/>
    </xf>
    <xf numFmtId="2" fontId="6" fillId="9" borderId="12" xfId="0" applyNumberFormat="1" applyFont="1" applyFill="1" applyBorder="1"/>
    <xf numFmtId="2" fontId="6" fillId="9" borderId="16" xfId="0" applyNumberFormat="1" applyFont="1" applyFill="1" applyBorder="1"/>
    <xf numFmtId="2" fontId="6" fillId="9" borderId="23" xfId="0" applyNumberFormat="1" applyFont="1" applyFill="1" applyBorder="1"/>
    <xf numFmtId="2" fontId="6" fillId="9" borderId="9" xfId="0" applyNumberFormat="1" applyFont="1" applyFill="1" applyBorder="1"/>
    <xf numFmtId="2" fontId="6" fillId="9" borderId="18" xfId="0" applyNumberFormat="1" applyFont="1" applyFill="1" applyBorder="1"/>
    <xf numFmtId="167" fontId="6" fillId="9" borderId="1" xfId="1" applyNumberFormat="1" applyFont="1" applyFill="1" applyBorder="1" applyAlignment="1">
      <alignment horizontal="center" vertical="center"/>
    </xf>
    <xf numFmtId="44" fontId="7" fillId="9" borderId="38" xfId="0" applyNumberFormat="1" applyFont="1" applyFill="1" applyBorder="1" applyAlignment="1">
      <alignment horizontal="center" vertical="center"/>
    </xf>
    <xf numFmtId="44" fontId="8" fillId="9" borderId="11" xfId="0" applyNumberFormat="1" applyFont="1" applyFill="1" applyBorder="1" applyAlignment="1">
      <alignment horizontal="center" vertical="center"/>
    </xf>
    <xf numFmtId="2" fontId="9" fillId="9" borderId="9" xfId="0" applyNumberFormat="1" applyFont="1" applyFill="1" applyBorder="1" applyAlignment="1">
      <alignment horizontal="left" vertical="center"/>
    </xf>
    <xf numFmtId="0" fontId="9" fillId="9" borderId="10" xfId="0" applyFont="1" applyFill="1" applyBorder="1" applyAlignment="1">
      <alignment horizontal="center" vertical="center" wrapText="1"/>
    </xf>
    <xf numFmtId="0" fontId="9" fillId="9" borderId="56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2" fontId="6" fillId="9" borderId="18" xfId="0" applyNumberFormat="1" applyFont="1" applyFill="1" applyBorder="1" applyAlignment="1">
      <alignment horizontal="left"/>
    </xf>
    <xf numFmtId="4" fontId="6" fillId="9" borderId="19" xfId="0" applyNumberFormat="1" applyFont="1" applyFill="1" applyBorder="1" applyAlignment="1">
      <alignment wrapText="1"/>
    </xf>
    <xf numFmtId="0" fontId="6" fillId="9" borderId="15" xfId="0" applyFont="1" applyFill="1" applyBorder="1" applyAlignment="1">
      <alignment horizontal="center" vertical="center"/>
    </xf>
    <xf numFmtId="2" fontId="6" fillId="9" borderId="41" xfId="0" applyNumberFormat="1" applyFont="1" applyFill="1" applyBorder="1" applyAlignment="1">
      <alignment horizontal="left"/>
    </xf>
    <xf numFmtId="4" fontId="10" fillId="9" borderId="3" xfId="0" applyNumberFormat="1" applyFont="1" applyFill="1" applyBorder="1" applyAlignment="1">
      <alignment wrapText="1"/>
    </xf>
    <xf numFmtId="0" fontId="6" fillId="9" borderId="71" xfId="0" applyFont="1" applyFill="1" applyBorder="1" applyAlignment="1">
      <alignment horizontal="center" vertical="center"/>
    </xf>
    <xf numFmtId="2" fontId="6" fillId="9" borderId="27" xfId="0" applyNumberFormat="1" applyFont="1" applyFill="1" applyBorder="1" applyAlignment="1">
      <alignment horizontal="left"/>
    </xf>
    <xf numFmtId="4" fontId="10" fillId="9" borderId="4" xfId="0" applyNumberFormat="1" applyFont="1" applyFill="1" applyBorder="1" applyAlignment="1">
      <alignment wrapText="1"/>
    </xf>
    <xf numFmtId="44" fontId="7" fillId="9" borderId="62" xfId="0" applyNumberFormat="1" applyFont="1" applyFill="1" applyBorder="1" applyAlignment="1">
      <alignment horizontal="center" vertical="center"/>
    </xf>
    <xf numFmtId="0" fontId="9" fillId="9" borderId="33" xfId="0" applyFont="1" applyFill="1" applyBorder="1" applyAlignment="1">
      <alignment horizontal="center" vertical="center"/>
    </xf>
    <xf numFmtId="0" fontId="9" fillId="9" borderId="32" xfId="0" applyFont="1" applyFill="1" applyBorder="1" applyAlignment="1">
      <alignment horizontal="center" vertical="center"/>
    </xf>
    <xf numFmtId="2" fontId="7" fillId="9" borderId="9" xfId="0" applyNumberFormat="1" applyFont="1" applyFill="1" applyBorder="1" applyAlignment="1">
      <alignment horizontal="left"/>
    </xf>
    <xf numFmtId="4" fontId="7" fillId="9" borderId="10" xfId="0" applyNumberFormat="1" applyFont="1" applyFill="1" applyBorder="1" applyAlignment="1">
      <alignment wrapText="1"/>
    </xf>
    <xf numFmtId="3" fontId="7" fillId="9" borderId="10" xfId="0" applyNumberFormat="1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2" fontId="6" fillId="9" borderId="16" xfId="0" applyNumberFormat="1" applyFont="1" applyFill="1" applyBorder="1" applyAlignment="1">
      <alignment horizontal="left"/>
    </xf>
    <xf numFmtId="0" fontId="6" fillId="9" borderId="6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9" borderId="19" xfId="0" applyFont="1" applyFill="1" applyBorder="1" applyAlignment="1">
      <alignment vertical="center" wrapText="1"/>
    </xf>
    <xf numFmtId="44" fontId="7" fillId="9" borderId="69" xfId="0" applyNumberFormat="1" applyFont="1" applyFill="1" applyBorder="1" applyAlignment="1">
      <alignment horizontal="center" vertical="center"/>
    </xf>
    <xf numFmtId="44" fontId="7" fillId="9" borderId="57" xfId="0" applyNumberFormat="1" applyFont="1" applyFill="1" applyBorder="1" applyAlignment="1">
      <alignment horizontal="center" vertical="center"/>
    </xf>
    <xf numFmtId="44" fontId="7" fillId="9" borderId="34" xfId="0" applyNumberFormat="1" applyFont="1" applyFill="1" applyBorder="1" applyAlignment="1">
      <alignment horizontal="center" vertical="center"/>
    </xf>
    <xf numFmtId="44" fontId="8" fillId="9" borderId="46" xfId="0" applyNumberFormat="1" applyFont="1" applyFill="1" applyBorder="1" applyAlignment="1">
      <alignment horizontal="center" vertical="center"/>
    </xf>
    <xf numFmtId="0" fontId="9" fillId="9" borderId="22" xfId="0" applyFont="1" applyFill="1" applyBorder="1" applyAlignment="1">
      <alignment horizontal="center" vertical="center"/>
    </xf>
    <xf numFmtId="0" fontId="9" fillId="9" borderId="2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left"/>
    </xf>
    <xf numFmtId="0" fontId="6" fillId="9" borderId="2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44" fontId="8" fillId="9" borderId="24" xfId="0" applyNumberFormat="1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left"/>
    </xf>
    <xf numFmtId="0" fontId="6" fillId="9" borderId="1" xfId="0" applyFont="1" applyFill="1" applyBorder="1" applyAlignment="1">
      <alignment horizontal="left"/>
    </xf>
    <xf numFmtId="0" fontId="7" fillId="9" borderId="1" xfId="0" applyFont="1" applyFill="1" applyBorder="1" applyAlignment="1">
      <alignment horizontal="center"/>
    </xf>
    <xf numFmtId="0" fontId="6" fillId="9" borderId="18" xfId="0" applyFont="1" applyFill="1" applyBorder="1" applyAlignment="1">
      <alignment horizontal="left"/>
    </xf>
    <xf numFmtId="0" fontId="6" fillId="9" borderId="19" xfId="0" applyFont="1" applyFill="1" applyBorder="1" applyAlignment="1">
      <alignment horizontal="left"/>
    </xf>
    <xf numFmtId="0" fontId="7" fillId="9" borderId="19" xfId="0" applyFont="1" applyFill="1" applyBorder="1" applyAlignment="1">
      <alignment horizontal="center"/>
    </xf>
    <xf numFmtId="0" fontId="6" fillId="9" borderId="19" xfId="0" applyFont="1" applyFill="1" applyBorder="1" applyAlignment="1">
      <alignment horizontal="center"/>
    </xf>
    <xf numFmtId="44" fontId="6" fillId="9" borderId="19" xfId="1" applyFont="1" applyFill="1" applyBorder="1" applyAlignment="1">
      <alignment horizontal="center"/>
    </xf>
    <xf numFmtId="0" fontId="8" fillId="9" borderId="2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left"/>
    </xf>
    <xf numFmtId="0" fontId="10" fillId="9" borderId="42" xfId="0" applyFont="1" applyFill="1" applyBorder="1" applyAlignment="1">
      <alignment horizontal="left"/>
    </xf>
    <xf numFmtId="0" fontId="7" fillId="9" borderId="42" xfId="0" applyFont="1" applyFill="1" applyBorder="1" applyAlignment="1">
      <alignment horizontal="center"/>
    </xf>
    <xf numFmtId="0" fontId="6" fillId="9" borderId="42" xfId="0" applyFont="1" applyFill="1" applyBorder="1" applyAlignment="1">
      <alignment horizontal="center"/>
    </xf>
    <xf numFmtId="44" fontId="6" fillId="9" borderId="42" xfId="1" applyFont="1" applyFill="1" applyBorder="1" applyAlignment="1">
      <alignment horizontal="center"/>
    </xf>
    <xf numFmtId="44" fontId="6" fillId="9" borderId="72" xfId="0" applyNumberFormat="1" applyFont="1" applyFill="1" applyBorder="1" applyAlignment="1">
      <alignment horizontal="center" vertical="center"/>
    </xf>
    <xf numFmtId="44" fontId="6" fillId="9" borderId="43" xfId="0" applyNumberFormat="1" applyFont="1" applyFill="1" applyBorder="1" applyAlignment="1">
      <alignment horizontal="center" vertical="center"/>
    </xf>
    <xf numFmtId="0" fontId="6" fillId="9" borderId="42" xfId="0" applyFont="1" applyFill="1" applyBorder="1" applyAlignment="1">
      <alignment vertical="center" wrapText="1"/>
    </xf>
    <xf numFmtId="0" fontId="6" fillId="9" borderId="72" xfId="0" applyFont="1" applyFill="1" applyBorder="1" applyAlignment="1">
      <alignment horizontal="center" vertical="center"/>
    </xf>
    <xf numFmtId="4" fontId="6" fillId="9" borderId="69" xfId="0" applyNumberFormat="1" applyFont="1" applyFill="1" applyBorder="1" applyAlignment="1">
      <alignment wrapText="1"/>
    </xf>
    <xf numFmtId="0" fontId="6" fillId="9" borderId="45" xfId="0" applyFont="1" applyFill="1" applyBorder="1" applyAlignment="1">
      <alignment horizontal="center" vertical="center"/>
    </xf>
    <xf numFmtId="44" fontId="7" fillId="9" borderId="69" xfId="1" applyFont="1" applyFill="1" applyBorder="1" applyAlignment="1">
      <alignment horizontal="center" vertical="center"/>
    </xf>
    <xf numFmtId="0" fontId="6" fillId="9" borderId="70" xfId="0" applyFont="1" applyFill="1" applyBorder="1" applyAlignment="1">
      <alignment horizontal="center" vertical="center"/>
    </xf>
    <xf numFmtId="0" fontId="10" fillId="9" borderId="46" xfId="0" applyFont="1" applyFill="1" applyBorder="1" applyAlignment="1">
      <alignment horizontal="center" vertical="center"/>
    </xf>
    <xf numFmtId="4" fontId="6" fillId="9" borderId="7" xfId="0" applyNumberFormat="1" applyFont="1" applyFill="1" applyBorder="1" applyAlignment="1">
      <alignment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0" fontId="8" fillId="9" borderId="20" xfId="0" applyFont="1" applyFill="1" applyBorder="1" applyAlignment="1">
      <alignment horizontal="center" vertical="center" wrapText="1"/>
    </xf>
    <xf numFmtId="2" fontId="6" fillId="10" borderId="34" xfId="0" applyNumberFormat="1" applyFont="1" applyFill="1" applyBorder="1" applyAlignment="1">
      <alignment horizontal="left"/>
    </xf>
    <xf numFmtId="0" fontId="10" fillId="10" borderId="3" xfId="0" applyFont="1" applyFill="1" applyBorder="1" applyAlignment="1">
      <alignment horizontal="center" vertical="center"/>
    </xf>
    <xf numFmtId="44" fontId="10" fillId="10" borderId="3" xfId="1" applyFont="1" applyFill="1" applyBorder="1" applyAlignment="1">
      <alignment horizontal="center" vertical="center"/>
    </xf>
    <xf numFmtId="44" fontId="8" fillId="10" borderId="3" xfId="1" applyFont="1" applyFill="1" applyBorder="1" applyAlignment="1">
      <alignment horizontal="center" vertical="center"/>
    </xf>
    <xf numFmtId="44" fontId="8" fillId="10" borderId="3" xfId="0" applyNumberFormat="1" applyFont="1" applyFill="1" applyBorder="1" applyAlignment="1">
      <alignment horizontal="center" vertical="center"/>
    </xf>
    <xf numFmtId="44" fontId="8" fillId="10" borderId="71" xfId="0" applyNumberFormat="1" applyFont="1" applyFill="1" applyBorder="1" applyAlignment="1">
      <alignment horizontal="center" vertical="center"/>
    </xf>
    <xf numFmtId="44" fontId="8" fillId="10" borderId="75" xfId="1" applyFont="1" applyFill="1" applyBorder="1" applyAlignment="1">
      <alignment horizontal="center" vertical="center"/>
    </xf>
    <xf numFmtId="0" fontId="10" fillId="10" borderId="28" xfId="0" applyFont="1" applyFill="1" applyBorder="1" applyAlignment="1">
      <alignment horizontal="center" vertical="center"/>
    </xf>
    <xf numFmtId="2" fontId="6" fillId="10" borderId="35" xfId="0" applyNumberFormat="1" applyFont="1" applyFill="1" applyBorder="1" applyAlignment="1">
      <alignment horizontal="left"/>
    </xf>
    <xf numFmtId="2" fontId="10" fillId="10" borderId="7" xfId="0" applyNumberFormat="1" applyFont="1" applyFill="1" applyBorder="1" applyAlignment="1">
      <alignment horizontal="left" wrapText="1"/>
    </xf>
    <xf numFmtId="0" fontId="10" fillId="10" borderId="1" xfId="0" applyFont="1" applyFill="1" applyBorder="1" applyAlignment="1">
      <alignment horizontal="center" vertical="center"/>
    </xf>
    <xf numFmtId="44" fontId="10" fillId="10" borderId="1" xfId="1" applyFont="1" applyFill="1" applyBorder="1" applyAlignment="1">
      <alignment horizontal="center" vertical="center"/>
    </xf>
    <xf numFmtId="44" fontId="10" fillId="10" borderId="1" xfId="0" applyNumberFormat="1" applyFont="1" applyFill="1" applyBorder="1" applyAlignment="1">
      <alignment horizontal="center" vertical="center"/>
    </xf>
    <xf numFmtId="44" fontId="8" fillId="10" borderId="1" xfId="0" applyNumberFormat="1" applyFont="1" applyFill="1" applyBorder="1" applyAlignment="1">
      <alignment horizontal="center" vertical="center"/>
    </xf>
    <xf numFmtId="44" fontId="8" fillId="10" borderId="1" xfId="1" applyFont="1" applyFill="1" applyBorder="1" applyAlignment="1">
      <alignment horizontal="center" vertical="center"/>
    </xf>
    <xf numFmtId="17" fontId="10" fillId="9" borderId="13" xfId="0" applyNumberFormat="1" applyFont="1" applyFill="1" applyBorder="1" applyAlignment="1">
      <alignment horizontal="center" vertical="center"/>
    </xf>
    <xf numFmtId="0" fontId="6" fillId="11" borderId="30" xfId="0" applyFont="1" applyFill="1" applyBorder="1" applyAlignment="1">
      <alignment horizontal="center" vertical="center"/>
    </xf>
    <xf numFmtId="44" fontId="6" fillId="11" borderId="30" xfId="1" applyFont="1" applyFill="1" applyBorder="1" applyAlignment="1">
      <alignment horizontal="center" vertical="center"/>
    </xf>
    <xf numFmtId="44" fontId="7" fillId="11" borderId="30" xfId="0" applyNumberFormat="1" applyFont="1" applyFill="1" applyBorder="1" applyAlignment="1">
      <alignment horizontal="center" vertical="center"/>
    </xf>
    <xf numFmtId="44" fontId="7" fillId="11" borderId="22" xfId="0" applyNumberFormat="1" applyFont="1" applyFill="1" applyBorder="1" applyAlignment="1">
      <alignment horizontal="center" vertical="center"/>
    </xf>
    <xf numFmtId="44" fontId="6" fillId="11" borderId="42" xfId="0" applyNumberFormat="1" applyFont="1" applyFill="1" applyBorder="1" applyAlignment="1">
      <alignment horizontal="center" vertical="center"/>
    </xf>
    <xf numFmtId="44" fontId="7" fillId="11" borderId="21" xfId="1" applyFont="1" applyFill="1" applyBorder="1" applyAlignment="1">
      <alignment horizontal="center" vertical="center"/>
    </xf>
    <xf numFmtId="0" fontId="10" fillId="11" borderId="31" xfId="0" applyFont="1" applyFill="1" applyBorder="1" applyAlignment="1">
      <alignment horizontal="center" vertical="center"/>
    </xf>
    <xf numFmtId="17" fontId="10" fillId="9" borderId="31" xfId="0" applyNumberFormat="1" applyFont="1" applyFill="1" applyBorder="1" applyAlignment="1">
      <alignment horizontal="center" vertical="center"/>
    </xf>
    <xf numFmtId="17" fontId="10" fillId="9" borderId="24" xfId="0" applyNumberFormat="1" applyFont="1" applyFill="1" applyBorder="1" applyAlignment="1">
      <alignment horizontal="center" vertical="center"/>
    </xf>
    <xf numFmtId="17" fontId="10" fillId="9" borderId="54" xfId="0" applyNumberFormat="1" applyFont="1" applyFill="1" applyBorder="1" applyAlignment="1">
      <alignment horizontal="center" vertical="center"/>
    </xf>
    <xf numFmtId="17" fontId="10" fillId="9" borderId="28" xfId="0" applyNumberFormat="1" applyFont="1" applyFill="1" applyBorder="1" applyAlignment="1">
      <alignment horizontal="center" vertical="center"/>
    </xf>
    <xf numFmtId="17" fontId="10" fillId="9" borderId="1" xfId="0" applyNumberFormat="1" applyFont="1" applyFill="1" applyBorder="1" applyAlignment="1">
      <alignment horizontal="center" vertical="center"/>
    </xf>
    <xf numFmtId="17" fontId="8" fillId="9" borderId="54" xfId="0" applyNumberFormat="1" applyFont="1" applyFill="1" applyBorder="1" applyAlignment="1">
      <alignment horizontal="center" vertical="center"/>
    </xf>
    <xf numFmtId="2" fontId="29" fillId="11" borderId="21" xfId="0" applyNumberFormat="1" applyFont="1" applyFill="1" applyBorder="1" applyAlignment="1">
      <alignment horizontal="left" wrapText="1"/>
    </xf>
    <xf numFmtId="44" fontId="7" fillId="0" borderId="35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9" borderId="37" xfId="0" applyFont="1" applyFill="1" applyBorder="1" applyAlignment="1">
      <alignment horizontal="center"/>
    </xf>
    <xf numFmtId="0" fontId="7" fillId="9" borderId="38" xfId="0" applyFont="1" applyFill="1" applyBorder="1" applyAlignment="1">
      <alignment horizontal="center"/>
    </xf>
    <xf numFmtId="0" fontId="7" fillId="9" borderId="62" xfId="0" applyFont="1" applyFill="1" applyBorder="1" applyAlignment="1">
      <alignment horizontal="center"/>
    </xf>
    <xf numFmtId="0" fontId="7" fillId="9" borderId="44" xfId="0" applyFont="1" applyFill="1" applyBorder="1" applyAlignment="1">
      <alignment horizontal="center"/>
    </xf>
    <xf numFmtId="0" fontId="7" fillId="9" borderId="57" xfId="0" applyFont="1" applyFill="1" applyBorder="1" applyAlignment="1">
      <alignment horizontal="center"/>
    </xf>
    <xf numFmtId="0" fontId="12" fillId="0" borderId="44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0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7" fillId="9" borderId="63" xfId="0" applyFont="1" applyFill="1" applyBorder="1" applyAlignment="1">
      <alignment horizontal="center"/>
    </xf>
    <xf numFmtId="0" fontId="7" fillId="9" borderId="64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0" fontId="9" fillId="9" borderId="41" xfId="0" applyFont="1" applyFill="1" applyBorder="1" applyAlignment="1">
      <alignment horizontal="center" vertical="center"/>
    </xf>
    <xf numFmtId="0" fontId="9" fillId="9" borderId="42" xfId="0" applyFont="1" applyFill="1" applyBorder="1" applyAlignment="1">
      <alignment horizontal="center" vertical="center"/>
    </xf>
    <xf numFmtId="0" fontId="9" fillId="9" borderId="54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9" fillId="9" borderId="40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19" fillId="0" borderId="44" xfId="0" applyFont="1" applyBorder="1" applyAlignment="1">
      <alignment horizontal="center" vertical="top"/>
    </xf>
    <xf numFmtId="0" fontId="19" fillId="0" borderId="57" xfId="0" applyFont="1" applyBorder="1" applyAlignment="1">
      <alignment horizontal="center" vertical="top"/>
    </xf>
    <xf numFmtId="0" fontId="19" fillId="0" borderId="58" xfId="0" applyFont="1" applyBorder="1" applyAlignment="1">
      <alignment horizontal="center" vertical="top"/>
    </xf>
    <xf numFmtId="0" fontId="7" fillId="9" borderId="41" xfId="0" applyFont="1" applyFill="1" applyBorder="1" applyAlignment="1">
      <alignment horizontal="center"/>
    </xf>
    <xf numFmtId="0" fontId="7" fillId="9" borderId="42" xfId="0" applyFont="1" applyFill="1" applyBorder="1" applyAlignment="1">
      <alignment horizontal="center"/>
    </xf>
    <xf numFmtId="0" fontId="7" fillId="9" borderId="56" xfId="0" applyFont="1" applyFill="1" applyBorder="1" applyAlignment="1">
      <alignment horizontal="center"/>
    </xf>
    <xf numFmtId="44" fontId="6" fillId="9" borderId="10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44" fontId="6" fillId="9" borderId="45" xfId="1" applyFont="1" applyFill="1" applyBorder="1" applyAlignment="1">
      <alignment horizontal="center" vertical="center"/>
    </xf>
    <xf numFmtId="44" fontId="6" fillId="9" borderId="3" xfId="1" applyFont="1" applyFill="1" applyBorder="1" applyAlignment="1">
      <alignment horizontal="center" vertical="center"/>
    </xf>
    <xf numFmtId="44" fontId="6" fillId="9" borderId="42" xfId="1" applyFont="1" applyFill="1" applyBorder="1" applyAlignment="1">
      <alignment horizontal="center" vertical="center"/>
    </xf>
    <xf numFmtId="0" fontId="20" fillId="0" borderId="55" xfId="0" applyFont="1" applyBorder="1" applyAlignment="1">
      <alignment horizontal="left" vertical="top"/>
    </xf>
    <xf numFmtId="0" fontId="20" fillId="0" borderId="67" xfId="0" applyFont="1" applyBorder="1" applyAlignment="1">
      <alignment horizontal="left" vertical="top"/>
    </xf>
    <xf numFmtId="0" fontId="18" fillId="0" borderId="5" xfId="0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2" fontId="7" fillId="9" borderId="37" xfId="0" applyNumberFormat="1" applyFont="1" applyFill="1" applyBorder="1" applyAlignment="1">
      <alignment horizontal="center"/>
    </xf>
    <xf numFmtId="2" fontId="7" fillId="9" borderId="38" xfId="0" applyNumberFormat="1" applyFont="1" applyFill="1" applyBorder="1" applyAlignment="1">
      <alignment horizontal="center"/>
    </xf>
    <xf numFmtId="2" fontId="7" fillId="9" borderId="9" xfId="0" applyNumberFormat="1" applyFont="1" applyFill="1" applyBorder="1" applyAlignment="1">
      <alignment horizontal="center" vertical="center"/>
    </xf>
    <xf numFmtId="2" fontId="7" fillId="9" borderId="16" xfId="0" applyNumberFormat="1" applyFont="1" applyFill="1" applyBorder="1" applyAlignment="1">
      <alignment horizontal="center" vertical="center"/>
    </xf>
    <xf numFmtId="2" fontId="7" fillId="9" borderId="23" xfId="0" applyNumberFormat="1" applyFont="1" applyFill="1" applyBorder="1" applyAlignment="1">
      <alignment horizontal="center" vertical="center"/>
    </xf>
    <xf numFmtId="44" fontId="10" fillId="9" borderId="70" xfId="0" applyNumberFormat="1" applyFont="1" applyFill="1" applyBorder="1" applyAlignment="1">
      <alignment horizontal="center" vertical="center"/>
    </xf>
    <xf numFmtId="44" fontId="10" fillId="9" borderId="71" xfId="0" applyNumberFormat="1" applyFont="1" applyFill="1" applyBorder="1" applyAlignment="1">
      <alignment horizontal="center" vertical="center"/>
    </xf>
    <xf numFmtId="44" fontId="10" fillId="9" borderId="72" xfId="0" applyNumberFormat="1" applyFont="1" applyFill="1" applyBorder="1" applyAlignment="1">
      <alignment horizontal="center" vertical="center"/>
    </xf>
    <xf numFmtId="17" fontId="13" fillId="0" borderId="70" xfId="0" applyNumberFormat="1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44" fontId="7" fillId="0" borderId="37" xfId="0" applyNumberFormat="1" applyFont="1" applyBorder="1" applyAlignment="1">
      <alignment horizontal="center" vertical="center"/>
    </xf>
    <xf numFmtId="44" fontId="7" fillId="0" borderId="38" xfId="0" applyNumberFormat="1" applyFont="1" applyBorder="1" applyAlignment="1">
      <alignment horizontal="center" vertical="center"/>
    </xf>
    <xf numFmtId="44" fontId="7" fillId="0" borderId="62" xfId="0" applyNumberFormat="1" applyFont="1" applyBorder="1" applyAlignment="1">
      <alignment horizontal="center" vertical="center"/>
    </xf>
    <xf numFmtId="44" fontId="17" fillId="0" borderId="44" xfId="0" applyNumberFormat="1" applyFont="1" applyBorder="1" applyAlignment="1">
      <alignment horizontal="center" vertical="center"/>
    </xf>
    <xf numFmtId="0" fontId="17" fillId="0" borderId="57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4" fontId="7" fillId="0" borderId="74" xfId="0" applyNumberFormat="1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44" fontId="13" fillId="0" borderId="4" xfId="1" applyFont="1" applyFill="1" applyBorder="1" applyAlignment="1">
      <alignment horizontal="center" vertical="center"/>
    </xf>
    <xf numFmtId="44" fontId="13" fillId="0" borderId="3" xfId="1" applyFont="1" applyFill="1" applyBorder="1" applyAlignment="1">
      <alignment horizontal="center" vertical="center"/>
    </xf>
    <xf numFmtId="44" fontId="13" fillId="0" borderId="2" xfId="1" applyFont="1" applyFill="1" applyBorder="1" applyAlignment="1">
      <alignment horizontal="center" vertical="center"/>
    </xf>
    <xf numFmtId="44" fontId="13" fillId="0" borderId="4" xfId="0" applyNumberFormat="1" applyFont="1" applyBorder="1" applyAlignment="1">
      <alignment horizontal="center" vertical="center"/>
    </xf>
    <xf numFmtId="44" fontId="13" fillId="0" borderId="3" xfId="0" applyNumberFormat="1" applyFont="1" applyBorder="1" applyAlignment="1">
      <alignment horizontal="center" vertical="center"/>
    </xf>
    <xf numFmtId="44" fontId="13" fillId="0" borderId="2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0" fillId="0" borderId="58" xfId="0" applyFont="1" applyBorder="1" applyAlignment="1">
      <alignment horizontal="left" vertical="top"/>
    </xf>
    <xf numFmtId="0" fontId="20" fillId="0" borderId="52" xfId="0" applyFont="1" applyBorder="1" applyAlignment="1">
      <alignment vertical="top"/>
    </xf>
    <xf numFmtId="0" fontId="20" fillId="0" borderId="59" xfId="0" applyFont="1" applyBorder="1" applyAlignment="1">
      <alignment horizontal="left" vertical="top"/>
    </xf>
    <xf numFmtId="0" fontId="20" fillId="0" borderId="65" xfId="0" applyFont="1" applyBorder="1" applyAlignment="1">
      <alignment horizontal="left" vertical="top"/>
    </xf>
    <xf numFmtId="0" fontId="20" fillId="0" borderId="53" xfId="0" applyFont="1" applyBorder="1" applyAlignment="1">
      <alignment horizontal="left" vertical="top"/>
    </xf>
    <xf numFmtId="0" fontId="1" fillId="0" borderId="44" xfId="0" applyFont="1" applyBorder="1" applyAlignment="1">
      <alignment horizontal="center" wrapText="1"/>
    </xf>
    <xf numFmtId="0" fontId="7" fillId="5" borderId="30" xfId="0" applyFont="1" applyFill="1" applyBorder="1" applyAlignment="1">
      <alignment horizontal="center" vertical="center" wrapText="1"/>
    </xf>
  </cellXfs>
  <cellStyles count="5">
    <cellStyle name="Moeda" xfId="1" builtinId="4"/>
    <cellStyle name="Normal" xfId="0" builtinId="0"/>
    <cellStyle name="Normal 2" xfId="3" xr:uid="{8B2CF34D-4794-480C-B9C9-AF0C7983FE30}"/>
    <cellStyle name="Porcentagem" xfId="4" builtinId="5"/>
    <cellStyle name="Vírgula" xfId="2" builtinId="3"/>
  </cellStyles>
  <dxfs count="0"/>
  <tableStyles count="0" defaultTableStyle="TableStyleMedium2" defaultPivotStyle="PivotStyleLight16"/>
  <colors>
    <mruColors>
      <color rgb="FFFF6600"/>
      <color rgb="FF0000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ALFÂNDEGA DA RECEITA FEDERAL DO BRASIL EM SÃO PAULO -DMA IPIRANGA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/>
            </a:pPr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CURVA ABC - PROJETO DE PROTEÇÃO E COMBATE A INCÊNDIO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>
              <a:defRPr/>
            </a:pPr>
            <a:endParaRPr lang="pt-BR"/>
          </a:p>
        </c:rich>
      </c:tx>
      <c:layout>
        <c:manualLayout>
          <c:xMode val="edge"/>
          <c:yMode val="edge"/>
          <c:x val="0.23018366514601324"/>
          <c:y val="3.427685544919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7791881836531331"/>
          <c:y val="0.20285589401811879"/>
          <c:w val="0.78728947443233732"/>
          <c:h val="0.66307565813835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'Dados_Curva ABC '!$N$5:$N$200</c:f>
              <c:numCache>
                <c:formatCode>General</c:formatCode>
                <c:ptCount val="19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</c:numCache>
            </c:numRef>
          </c:xVal>
          <c:yVal>
            <c:numRef>
              <c:f>'Dados_Curva ABC '!$M$5:$M$200</c:f>
              <c:numCache>
                <c:formatCode>0.000%</c:formatCode>
                <c:ptCount val="196"/>
                <c:pt idx="0">
                  <c:v>0</c:v>
                </c:pt>
                <c:pt idx="1">
                  <c:v>5.674337263860315E-2</c:v>
                </c:pt>
                <c:pt idx="2">
                  <c:v>0.11514707350790733</c:v>
                </c:pt>
                <c:pt idx="3">
                  <c:v>0.17227899755328718</c:v>
                </c:pt>
                <c:pt idx="4">
                  <c:v>0.17227899755328718</c:v>
                </c:pt>
                <c:pt idx="5">
                  <c:v>0.21828114869070681</c:v>
                </c:pt>
                <c:pt idx="6">
                  <c:v>0.26285021100764611</c:v>
                </c:pt>
                <c:pt idx="7">
                  <c:v>0.30285606605840021</c:v>
                </c:pt>
                <c:pt idx="8">
                  <c:v>0.34161563278981616</c:v>
                </c:pt>
                <c:pt idx="9">
                  <c:v>0.37916255988640168</c:v>
                </c:pt>
                <c:pt idx="10">
                  <c:v>0.4118153138530608</c:v>
                </c:pt>
                <c:pt idx="11">
                  <c:v>0.42865058687806634</c:v>
                </c:pt>
                <c:pt idx="12">
                  <c:v>0.4449613965689595</c:v>
                </c:pt>
                <c:pt idx="13">
                  <c:v>0.45870233592270238</c:v>
                </c:pt>
                <c:pt idx="14">
                  <c:v>0.4775870201973848</c:v>
                </c:pt>
                <c:pt idx="15">
                  <c:v>0.49206869446654683</c:v>
                </c:pt>
                <c:pt idx="16">
                  <c:v>0.50609922623511194</c:v>
                </c:pt>
                <c:pt idx="17">
                  <c:v>0.51341270630205249</c:v>
                </c:pt>
                <c:pt idx="18">
                  <c:v>0.52237637783242419</c:v>
                </c:pt>
                <c:pt idx="19">
                  <c:v>0.53808525307978583</c:v>
                </c:pt>
                <c:pt idx="20">
                  <c:v>0.55327599457687771</c:v>
                </c:pt>
                <c:pt idx="21">
                  <c:v>0.56196042400349944</c:v>
                </c:pt>
                <c:pt idx="22">
                  <c:v>0.57378035751913947</c:v>
                </c:pt>
                <c:pt idx="23">
                  <c:v>0.58899985970583579</c:v>
                </c:pt>
                <c:pt idx="24">
                  <c:v>0.60078914216688106</c:v>
                </c:pt>
                <c:pt idx="25">
                  <c:v>0.60732333112258174</c:v>
                </c:pt>
                <c:pt idx="26">
                  <c:v>0.62053398730756593</c:v>
                </c:pt>
                <c:pt idx="27">
                  <c:v>0.63691219433367352</c:v>
                </c:pt>
                <c:pt idx="28">
                  <c:v>0.64422833745192087</c:v>
                </c:pt>
                <c:pt idx="29">
                  <c:v>0.65704991164135629</c:v>
                </c:pt>
                <c:pt idx="30">
                  <c:v>0.6685489219109727</c:v>
                </c:pt>
                <c:pt idx="31">
                  <c:v>0.67819296973056786</c:v>
                </c:pt>
                <c:pt idx="32">
                  <c:v>0.68933375538119301</c:v>
                </c:pt>
                <c:pt idx="33">
                  <c:v>0.69503466380317347</c:v>
                </c:pt>
                <c:pt idx="34">
                  <c:v>0.70437827399598996</c:v>
                </c:pt>
                <c:pt idx="35">
                  <c:v>0.7127197482863884</c:v>
                </c:pt>
                <c:pt idx="36">
                  <c:v>0.72080136356462499</c:v>
                </c:pt>
                <c:pt idx="37">
                  <c:v>0.7256579402136788</c:v>
                </c:pt>
                <c:pt idx="38">
                  <c:v>0.73504342523124733</c:v>
                </c:pt>
                <c:pt idx="39">
                  <c:v>0.74291489105284825</c:v>
                </c:pt>
                <c:pt idx="40">
                  <c:v>0.74972319717149138</c:v>
                </c:pt>
                <c:pt idx="41">
                  <c:v>0.75870100374175242</c:v>
                </c:pt>
                <c:pt idx="42">
                  <c:v>0.76739912786434172</c:v>
                </c:pt>
                <c:pt idx="43">
                  <c:v>0.771055867897812</c:v>
                </c:pt>
                <c:pt idx="44">
                  <c:v>0.7766151792394026</c:v>
                </c:pt>
                <c:pt idx="45">
                  <c:v>0.78362988729731309</c:v>
                </c:pt>
                <c:pt idx="46">
                  <c:v>0.78977633473576592</c:v>
                </c:pt>
                <c:pt idx="47">
                  <c:v>0.79657251606290047</c:v>
                </c:pt>
                <c:pt idx="48">
                  <c:v>0.80252748538800589</c:v>
                </c:pt>
                <c:pt idx="49">
                  <c:v>0.80985516551700398</c:v>
                </c:pt>
                <c:pt idx="50">
                  <c:v>0.81541815105417681</c:v>
                </c:pt>
                <c:pt idx="51">
                  <c:v>0.82114355140050876</c:v>
                </c:pt>
                <c:pt idx="52">
                  <c:v>0.82616027797021174</c:v>
                </c:pt>
                <c:pt idx="53">
                  <c:v>0.83103308175531532</c:v>
                </c:pt>
                <c:pt idx="54">
                  <c:v>0.83583493703366463</c:v>
                </c:pt>
                <c:pt idx="55">
                  <c:v>0.84217571709346017</c:v>
                </c:pt>
                <c:pt idx="56">
                  <c:v>0.84682798186469577</c:v>
                </c:pt>
                <c:pt idx="57">
                  <c:v>0.85141164405258452</c:v>
                </c:pt>
                <c:pt idx="58">
                  <c:v>0.85619375455891222</c:v>
                </c:pt>
                <c:pt idx="59">
                  <c:v>0.86063462353222508</c:v>
                </c:pt>
                <c:pt idx="60">
                  <c:v>0.86650724057842798</c:v>
                </c:pt>
                <c:pt idx="61">
                  <c:v>0.87219691005309807</c:v>
                </c:pt>
                <c:pt idx="62">
                  <c:v>0.87611618133947666</c:v>
                </c:pt>
                <c:pt idx="63">
                  <c:v>0.880376517987009</c:v>
                </c:pt>
                <c:pt idx="64">
                  <c:v>0.88333648428675793</c:v>
                </c:pt>
                <c:pt idx="65">
                  <c:v>0.88852383872981189</c:v>
                </c:pt>
                <c:pt idx="66">
                  <c:v>0.89226502095170246</c:v>
                </c:pt>
                <c:pt idx="67">
                  <c:v>0.8946231276899751</c:v>
                </c:pt>
                <c:pt idx="68">
                  <c:v>0.89941635406413445</c:v>
                </c:pt>
                <c:pt idx="69">
                  <c:v>0.90299534684231586</c:v>
                </c:pt>
                <c:pt idx="70">
                  <c:v>0.90679252780362229</c:v>
                </c:pt>
                <c:pt idx="71">
                  <c:v>0.90997716664747619</c:v>
                </c:pt>
                <c:pt idx="72">
                  <c:v>0.91318895413746481</c:v>
                </c:pt>
                <c:pt idx="73">
                  <c:v>0.9163006859424071</c:v>
                </c:pt>
                <c:pt idx="74">
                  <c:v>0.91905519147132375</c:v>
                </c:pt>
                <c:pt idx="75">
                  <c:v>0.92187987736520061</c:v>
                </c:pt>
                <c:pt idx="76">
                  <c:v>0.92461656681378535</c:v>
                </c:pt>
                <c:pt idx="77">
                  <c:v>0.92707718506454184</c:v>
                </c:pt>
                <c:pt idx="78">
                  <c:v>0.92969864401275693</c:v>
                </c:pt>
                <c:pt idx="79">
                  <c:v>0.93231240104158219</c:v>
                </c:pt>
                <c:pt idx="80">
                  <c:v>0.93527703498690207</c:v>
                </c:pt>
                <c:pt idx="81">
                  <c:v>0.93758254185355538</c:v>
                </c:pt>
                <c:pt idx="82">
                  <c:v>0.93989892519978135</c:v>
                </c:pt>
                <c:pt idx="83">
                  <c:v>0.94192859320126421</c:v>
                </c:pt>
                <c:pt idx="84">
                  <c:v>0.94416129324371822</c:v>
                </c:pt>
                <c:pt idx="85">
                  <c:v>0.94624512485614798</c:v>
                </c:pt>
                <c:pt idx="86">
                  <c:v>0.94749800275695206</c:v>
                </c:pt>
                <c:pt idx="87">
                  <c:v>0.94867779637259642</c:v>
                </c:pt>
                <c:pt idx="88">
                  <c:v>0.95026345574800142</c:v>
                </c:pt>
                <c:pt idx="89">
                  <c:v>0.95177706382250682</c:v>
                </c:pt>
                <c:pt idx="90">
                  <c:v>0.95302246542787017</c:v>
                </c:pt>
                <c:pt idx="91">
                  <c:v>0.95496170968611793</c:v>
                </c:pt>
                <c:pt idx="92">
                  <c:v>0.95590024122727302</c:v>
                </c:pt>
                <c:pt idx="93">
                  <c:v>0.95688560453175986</c:v>
                </c:pt>
                <c:pt idx="94">
                  <c:v>0.95753953169107398</c:v>
                </c:pt>
                <c:pt idx="95">
                  <c:v>0.95813608877456413</c:v>
                </c:pt>
                <c:pt idx="96">
                  <c:v>0.95936983295460432</c:v>
                </c:pt>
                <c:pt idx="97">
                  <c:v>0.9610632993596907</c:v>
                </c:pt>
                <c:pt idx="98">
                  <c:v>0.9622159078594813</c:v>
                </c:pt>
                <c:pt idx="99">
                  <c:v>0.96389297926703332</c:v>
                </c:pt>
                <c:pt idx="100">
                  <c:v>0.96511408260135001</c:v>
                </c:pt>
                <c:pt idx="101">
                  <c:v>0.9667389087937136</c:v>
                </c:pt>
                <c:pt idx="102">
                  <c:v>0.96770022671556721</c:v>
                </c:pt>
                <c:pt idx="103">
                  <c:v>0.96876081697705885</c:v>
                </c:pt>
                <c:pt idx="104">
                  <c:v>0.97012964161499837</c:v>
                </c:pt>
                <c:pt idx="105">
                  <c:v>0.97099089686084761</c:v>
                </c:pt>
                <c:pt idx="106">
                  <c:v>0.97166569081149035</c:v>
                </c:pt>
                <c:pt idx="107">
                  <c:v>0.97259845313158666</c:v>
                </c:pt>
                <c:pt idx="108">
                  <c:v>0.97320041148880987</c:v>
                </c:pt>
                <c:pt idx="109">
                  <c:v>0.97415011153315567</c:v>
                </c:pt>
                <c:pt idx="110">
                  <c:v>0.97507022590633807</c:v>
                </c:pt>
                <c:pt idx="111">
                  <c:v>0.97589096383755869</c:v>
                </c:pt>
                <c:pt idx="112">
                  <c:v>0.97668613360892831</c:v>
                </c:pt>
                <c:pt idx="113">
                  <c:v>0.97735508330367571</c:v>
                </c:pt>
                <c:pt idx="114">
                  <c:v>0.9781480602322451</c:v>
                </c:pt>
                <c:pt idx="115">
                  <c:v>0.97894801594842873</c:v>
                </c:pt>
                <c:pt idx="116">
                  <c:v>0.97952576960487259</c:v>
                </c:pt>
                <c:pt idx="117">
                  <c:v>0.98039544073464346</c:v>
                </c:pt>
                <c:pt idx="118">
                  <c:v>0.98117058531912493</c:v>
                </c:pt>
                <c:pt idx="119">
                  <c:v>0.98196625899875245</c:v>
                </c:pt>
                <c:pt idx="120">
                  <c:v>0.98263614478685157</c:v>
                </c:pt>
                <c:pt idx="121">
                  <c:v>0.983357619271511</c:v>
                </c:pt>
                <c:pt idx="122">
                  <c:v>0.9840566179155269</c:v>
                </c:pt>
                <c:pt idx="123">
                  <c:v>0.98462075181338482</c:v>
                </c:pt>
                <c:pt idx="124">
                  <c:v>0.98513756433604727</c:v>
                </c:pt>
                <c:pt idx="125">
                  <c:v>0.98572643136090943</c:v>
                </c:pt>
                <c:pt idx="126">
                  <c:v>0.98646473496471299</c:v>
                </c:pt>
                <c:pt idx="127">
                  <c:v>0.98702176448871304</c:v>
                </c:pt>
                <c:pt idx="128">
                  <c:v>0.98756144106804034</c:v>
                </c:pt>
                <c:pt idx="129">
                  <c:v>0.98804358981435003</c:v>
                </c:pt>
                <c:pt idx="130">
                  <c:v>0.98851071835049431</c:v>
                </c:pt>
                <c:pt idx="131">
                  <c:v>0.98898851117020148</c:v>
                </c:pt>
                <c:pt idx="132">
                  <c:v>0.98945141947839121</c:v>
                </c:pt>
                <c:pt idx="133">
                  <c:v>0.98990606662882119</c:v>
                </c:pt>
                <c:pt idx="134">
                  <c:v>0.99024054147619489</c:v>
                </c:pt>
                <c:pt idx="135">
                  <c:v>0.99073544715907114</c:v>
                </c:pt>
                <c:pt idx="136">
                  <c:v>0.99118494193630058</c:v>
                </c:pt>
                <c:pt idx="137">
                  <c:v>0.99166442999665738</c:v>
                </c:pt>
                <c:pt idx="138">
                  <c:v>0.99221822927765591</c:v>
                </c:pt>
                <c:pt idx="139">
                  <c:v>0.99261175878398977</c:v>
                </c:pt>
                <c:pt idx="140">
                  <c:v>0.99300173298574446</c:v>
                </c:pt>
                <c:pt idx="141">
                  <c:v>0.99340567469575558</c:v>
                </c:pt>
                <c:pt idx="142">
                  <c:v>0.99371928281008781</c:v>
                </c:pt>
                <c:pt idx="143">
                  <c:v>0.99395781393840466</c:v>
                </c:pt>
                <c:pt idx="144">
                  <c:v>0.99426727478507138</c:v>
                </c:pt>
                <c:pt idx="145">
                  <c:v>0.99453829727949317</c:v>
                </c:pt>
                <c:pt idx="146">
                  <c:v>0.99483811760134166</c:v>
                </c:pt>
                <c:pt idx="147">
                  <c:v>0.99513582475114637</c:v>
                </c:pt>
                <c:pt idx="148">
                  <c:v>0.99538335420721213</c:v>
                </c:pt>
                <c:pt idx="149">
                  <c:v>0.995672653314009</c:v>
                </c:pt>
                <c:pt idx="150">
                  <c:v>0.9959252350642479</c:v>
                </c:pt>
                <c:pt idx="151">
                  <c:v>0.99616347897506996</c:v>
                </c:pt>
                <c:pt idx="152">
                  <c:v>0.99624492551999488</c:v>
                </c:pt>
                <c:pt idx="153">
                  <c:v>0.99639346831927167</c:v>
                </c:pt>
                <c:pt idx="154">
                  <c:v>0.99654201111854845</c:v>
                </c:pt>
                <c:pt idx="155">
                  <c:v>0.99675628370043834</c:v>
                </c:pt>
                <c:pt idx="156">
                  <c:v>0.99696388112401391</c:v>
                </c:pt>
                <c:pt idx="157">
                  <c:v>0.99714782233754662</c:v>
                </c:pt>
                <c:pt idx="158">
                  <c:v>0.99743935123002958</c:v>
                </c:pt>
                <c:pt idx="159">
                  <c:v>0.99759856545778292</c:v>
                </c:pt>
                <c:pt idx="160">
                  <c:v>0.99777345460561817</c:v>
                </c:pt>
                <c:pt idx="161">
                  <c:v>0.99793123042770226</c:v>
                </c:pt>
                <c:pt idx="162">
                  <c:v>0.99810414890332988</c:v>
                </c:pt>
                <c:pt idx="163">
                  <c:v>0.9982101576434107</c:v>
                </c:pt>
                <c:pt idx="164">
                  <c:v>0.99837358444211755</c:v>
                </c:pt>
                <c:pt idx="165">
                  <c:v>0.99851404475983696</c:v>
                </c:pt>
                <c:pt idx="166">
                  <c:v>0.9986171390807923</c:v>
                </c:pt>
                <c:pt idx="167">
                  <c:v>0.99873591270160211</c:v>
                </c:pt>
                <c:pt idx="168">
                  <c:v>0.9988357953614686</c:v>
                </c:pt>
                <c:pt idx="169">
                  <c:v>0.99893120285450376</c:v>
                </c:pt>
                <c:pt idx="170">
                  <c:v>0.99903339241757749</c:v>
                </c:pt>
                <c:pt idx="171">
                  <c:v>0.99911753793810798</c:v>
                </c:pt>
                <c:pt idx="172">
                  <c:v>0.99919147284697263</c:v>
                </c:pt>
                <c:pt idx="173">
                  <c:v>0.99926310448764843</c:v>
                </c:pt>
                <c:pt idx="174">
                  <c:v>0.99935397023223449</c:v>
                </c:pt>
                <c:pt idx="175">
                  <c:v>0.99941431585878449</c:v>
                </c:pt>
                <c:pt idx="176">
                  <c:v>0.99948507253691632</c:v>
                </c:pt>
                <c:pt idx="177">
                  <c:v>0.99953358685530302</c:v>
                </c:pt>
                <c:pt idx="178">
                  <c:v>0.99957542087833684</c:v>
                </c:pt>
                <c:pt idx="179">
                  <c:v>0.99963151640899206</c:v>
                </c:pt>
                <c:pt idx="180">
                  <c:v>0.99973749017679692</c:v>
                </c:pt>
                <c:pt idx="181">
                  <c:v>0.99979000299206955</c:v>
                </c:pt>
                <c:pt idx="182">
                  <c:v>0.999821388666848</c:v>
                </c:pt>
                <c:pt idx="183">
                  <c:v>0.9998547949620159</c:v>
                </c:pt>
                <c:pt idx="184">
                  <c:v>0.99988988381223876</c:v>
                </c:pt>
                <c:pt idx="185">
                  <c:v>0.99992392741978164</c:v>
                </c:pt>
                <c:pt idx="186">
                  <c:v>0.99994834206258432</c:v>
                </c:pt>
                <c:pt idx="187">
                  <c:v>0.99997174240101649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BD-476C-A91C-D46112A12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379024"/>
        <c:axId val="630373120"/>
      </c:scatterChart>
      <c:valAx>
        <c:axId val="6303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Quantidade</a:t>
                </a:r>
                <a:r>
                  <a:rPr lang="pt-BR" baseline="0"/>
                  <a:t> de Itens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0.43240844904540077"/>
              <c:y val="0.931594707800330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0373120"/>
        <c:crosses val="autoZero"/>
        <c:crossBetween val="midCat"/>
        <c:majorUnit val="10"/>
        <c:minorUnit val="2"/>
      </c:valAx>
      <c:valAx>
        <c:axId val="6303731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200" b="0" i="0" baseline="0">
                    <a:effectLst/>
                  </a:rPr>
                  <a:t>Porcentagem do valor da obra [%]</a:t>
                </a:r>
                <a:endParaRPr lang="pt-BR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1722273316155433E-2"/>
              <c:y val="0.23363827550796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63037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C23CCA-AA43-4D83-9411-EFB920A3887F}">
  <sheetPr/>
  <sheetViews>
    <sheetView zoomScale="92" workbookViewId="0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5</xdr:row>
      <xdr:rowOff>19050</xdr:rowOff>
    </xdr:from>
    <xdr:to>
      <xdr:col>8</xdr:col>
      <xdr:colOff>50800</xdr:colOff>
      <xdr:row>9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E1B3772-EF93-4F4E-B7CA-027613D6A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971550"/>
          <a:ext cx="59880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4</xdr:row>
      <xdr:rowOff>19050</xdr:rowOff>
    </xdr:from>
    <xdr:to>
      <xdr:col>10</xdr:col>
      <xdr:colOff>361950</xdr:colOff>
      <xdr:row>8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082323B-A887-4610-93A0-8DE296D0E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400050"/>
          <a:ext cx="62960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597354</xdr:colOff>
      <xdr:row>20</xdr:row>
      <xdr:rowOff>35378</xdr:rowOff>
    </xdr:from>
    <xdr:to>
      <xdr:col>7</xdr:col>
      <xdr:colOff>2012496</xdr:colOff>
      <xdr:row>29</xdr:row>
      <xdr:rowOff>63953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13BB891-44C8-4C0F-A549-F5DFA48AA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30" t="1355" r="5917"/>
        <a:stretch>
          <a:fillRect/>
        </a:stretch>
      </xdr:blipFill>
      <xdr:spPr bwMode="auto">
        <a:xfrm>
          <a:off x="1209675" y="3464378"/>
          <a:ext cx="5089071" cy="1770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638886" cy="600489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7E36F4-0828-41FE-9A52-1E0AF0FF282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0.18475</cdr:x>
      <cdr:y>0.73276</cdr:y>
    </cdr:from>
    <cdr:to>
      <cdr:x>0.18582</cdr:x>
      <cdr:y>0.86897</cdr:y>
    </cdr:to>
    <cdr:cxnSp macro="">
      <cdr:nvCxnSpPr>
        <cdr:cNvPr id="2" name="Conector reto 1">
          <a:extLst xmlns:a="http://schemas.openxmlformats.org/drawingml/2006/main">
            <a:ext uri="{FF2B5EF4-FFF2-40B4-BE49-F238E27FC236}">
              <a16:creationId xmlns:a16="http://schemas.microsoft.com/office/drawing/2014/main" id="{5F60524D-DF11-4C43-8BE8-A33A050DF9DA}"/>
            </a:ext>
          </a:extLst>
        </cdr:cNvPr>
        <cdr:cNvCxnSpPr/>
      </cdr:nvCxnSpPr>
      <cdr:spPr>
        <a:xfrm xmlns:a="http://schemas.openxmlformats.org/drawingml/2006/main">
          <a:off x="1780761" y="4400136"/>
          <a:ext cx="10353" cy="81790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0.2188</cdr:x>
      <cdr:y>0.53276</cdr:y>
    </cdr:from>
    <cdr:to>
      <cdr:x>0.2188</cdr:x>
      <cdr:y>0.86552</cdr:y>
    </cdr:to>
    <cdr:cxnSp macro="">
      <cdr:nvCxnSpPr>
        <cdr:cNvPr id="6" name="Conector reto 5">
          <a:extLst xmlns:a="http://schemas.openxmlformats.org/drawingml/2006/main">
            <a:ext uri="{FF2B5EF4-FFF2-40B4-BE49-F238E27FC236}">
              <a16:creationId xmlns:a16="http://schemas.microsoft.com/office/drawing/2014/main" id="{29E363F8-41B7-493C-8FB3-0D64EFAC4696}"/>
            </a:ext>
          </a:extLst>
        </cdr:cNvPr>
        <cdr:cNvCxnSpPr/>
      </cdr:nvCxnSpPr>
      <cdr:spPr>
        <a:xfrm xmlns:a="http://schemas.openxmlformats.org/drawingml/2006/main">
          <a:off x="2108997" y="3199157"/>
          <a:ext cx="0" cy="199818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0.03792</cdr:x>
      <cdr:y>0.82321</cdr:y>
    </cdr:from>
    <cdr:to>
      <cdr:x>0.19149</cdr:x>
      <cdr:y>0.92774</cdr:y>
    </cdr:to>
    <cdr:sp macro="" textlink="">
      <cdr:nvSpPr>
        <cdr:cNvPr id="10" name="CaixaDeTexto 1">
          <a:extLst xmlns:a="http://schemas.openxmlformats.org/drawingml/2006/main">
            <a:ext uri="{FF2B5EF4-FFF2-40B4-BE49-F238E27FC236}">
              <a16:creationId xmlns:a16="http://schemas.microsoft.com/office/drawing/2014/main" id="{A3A47DD6-5D21-4544-BB7C-B1B407F72493}"/>
            </a:ext>
          </a:extLst>
        </cdr:cNvPr>
        <cdr:cNvSpPr txBox="1"/>
      </cdr:nvSpPr>
      <cdr:spPr>
        <a:xfrm xmlns:a="http://schemas.openxmlformats.org/drawingml/2006/main">
          <a:off x="365500" y="4943280"/>
          <a:ext cx="1480205" cy="627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A</a:t>
          </a:r>
        </a:p>
      </cdr:txBody>
    </cdr:sp>
  </cdr:relSizeAnchor>
  <cdr:relSizeAnchor xmlns:cdr="http://schemas.openxmlformats.org/drawingml/2006/chartDrawing">
    <cdr:from>
      <cdr:x>0.22128</cdr:x>
      <cdr:y>0.68822</cdr:y>
    </cdr:from>
    <cdr:to>
      <cdr:x>0.37484</cdr:x>
      <cdr:y>0.79275</cdr:y>
    </cdr:to>
    <cdr:sp macro="" textlink="">
      <cdr:nvSpPr>
        <cdr:cNvPr id="11" name="CaixaDeTexto 1">
          <a:extLst xmlns:a="http://schemas.openxmlformats.org/drawingml/2006/main">
            <a:ext uri="{FF2B5EF4-FFF2-40B4-BE49-F238E27FC236}">
              <a16:creationId xmlns:a16="http://schemas.microsoft.com/office/drawing/2014/main" id="{A84D6297-B72A-428F-986D-7BDD63FFAB4F}"/>
            </a:ext>
          </a:extLst>
        </cdr:cNvPr>
        <cdr:cNvSpPr txBox="1"/>
      </cdr:nvSpPr>
      <cdr:spPr>
        <a:xfrm xmlns:a="http://schemas.openxmlformats.org/drawingml/2006/main">
          <a:off x="2132872" y="4132711"/>
          <a:ext cx="1480206" cy="627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B</a:t>
          </a:r>
        </a:p>
      </cdr:txBody>
    </cdr:sp>
  </cdr:relSizeAnchor>
  <cdr:relSizeAnchor xmlns:cdr="http://schemas.openxmlformats.org/drawingml/2006/chartDrawing">
    <cdr:from>
      <cdr:x>0.54308</cdr:x>
      <cdr:y>0.54918</cdr:y>
    </cdr:from>
    <cdr:to>
      <cdr:x>0.69665</cdr:x>
      <cdr:y>0.65371</cdr:y>
    </cdr:to>
    <cdr:sp macro="" textlink="">
      <cdr:nvSpPr>
        <cdr:cNvPr id="12" name="CaixaDeTexto 1">
          <a:extLst xmlns:a="http://schemas.openxmlformats.org/drawingml/2006/main">
            <a:ext uri="{FF2B5EF4-FFF2-40B4-BE49-F238E27FC236}">
              <a16:creationId xmlns:a16="http://schemas.microsoft.com/office/drawing/2014/main" id="{8E480968-A32D-4A26-A5E9-F909DA03AA00}"/>
            </a:ext>
          </a:extLst>
        </cdr:cNvPr>
        <cdr:cNvSpPr txBox="1"/>
      </cdr:nvSpPr>
      <cdr:spPr>
        <a:xfrm xmlns:a="http://schemas.openxmlformats.org/drawingml/2006/main">
          <a:off x="5234696" y="3297770"/>
          <a:ext cx="1480206" cy="627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>
              <a:latin typeface="Arial" panose="020B0604020202020204" pitchFamily="34" charset="0"/>
              <a:cs typeface="Arial" panose="020B0604020202020204" pitchFamily="34" charset="0"/>
            </a:rPr>
            <a:t>GRUPO C</a:t>
          </a:r>
        </a:p>
      </cdr:txBody>
    </cdr:sp>
  </cdr:relSizeAnchor>
  <cdr:relSizeAnchor xmlns:cdr="http://schemas.openxmlformats.org/drawingml/2006/chartDrawing">
    <cdr:from>
      <cdr:x>0.13534</cdr:x>
      <cdr:y>0.81708</cdr:y>
    </cdr:from>
    <cdr:to>
      <cdr:x>0.18035</cdr:x>
      <cdr:y>0.84655</cdr:y>
    </cdr:to>
    <cdr:cxnSp macro="">
      <cdr:nvCxnSpPr>
        <cdr:cNvPr id="14" name="Conector reto 13">
          <a:extLst xmlns:a="http://schemas.openxmlformats.org/drawingml/2006/main">
            <a:ext uri="{FF2B5EF4-FFF2-40B4-BE49-F238E27FC236}">
              <a16:creationId xmlns:a16="http://schemas.microsoft.com/office/drawing/2014/main" id="{96DBD906-9F74-451C-BD06-835580D5E6A9}"/>
            </a:ext>
          </a:extLst>
        </cdr:cNvPr>
        <cdr:cNvCxnSpPr/>
      </cdr:nvCxnSpPr>
      <cdr:spPr>
        <a:xfrm xmlns:a="http://schemas.openxmlformats.org/drawingml/2006/main" flipV="1">
          <a:off x="1304511" y="4906479"/>
          <a:ext cx="433870" cy="17697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0.19861</cdr:x>
      <cdr:y>0.73432</cdr:y>
    </cdr:from>
    <cdr:to>
      <cdr:x>0.24362</cdr:x>
      <cdr:y>0.76379</cdr:y>
    </cdr:to>
    <cdr:cxnSp macro="">
      <cdr:nvCxnSpPr>
        <cdr:cNvPr id="16" name="Conector reto 15">
          <a:extLst xmlns:a="http://schemas.openxmlformats.org/drawingml/2006/main">
            <a:ext uri="{FF2B5EF4-FFF2-40B4-BE49-F238E27FC236}">
              <a16:creationId xmlns:a16="http://schemas.microsoft.com/office/drawing/2014/main" id="{F308A97A-0CB7-4E0F-A49A-C260B1FD8586}"/>
            </a:ext>
          </a:extLst>
        </cdr:cNvPr>
        <cdr:cNvCxnSpPr/>
      </cdr:nvCxnSpPr>
      <cdr:spPr>
        <a:xfrm xmlns:a="http://schemas.openxmlformats.org/drawingml/2006/main" flipV="1">
          <a:off x="1914387" y="4409523"/>
          <a:ext cx="433870" cy="17697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3B6CE-D551-4B31-A4AE-722E58008545}">
  <sheetPr>
    <pageSetUpPr fitToPage="1"/>
  </sheetPr>
  <dimension ref="B4:R509"/>
  <sheetViews>
    <sheetView tabSelected="1" view="pageBreakPreview" topLeftCell="A227" zoomScale="70" zoomScaleNormal="70" zoomScaleSheetLayoutView="70" workbookViewId="0">
      <selection activeCell="O10" sqref="O10"/>
    </sheetView>
  </sheetViews>
  <sheetFormatPr defaultRowHeight="14.4"/>
  <cols>
    <col min="2" max="2" width="9.109375" style="12" customWidth="1"/>
    <col min="3" max="3" width="91.6640625" style="11" customWidth="1"/>
    <col min="4" max="4" width="14.44140625" style="2" customWidth="1"/>
    <col min="5" max="5" width="18.33203125" style="2" customWidth="1"/>
    <col min="6" max="6" width="11.33203125" style="2" customWidth="1"/>
    <col min="7" max="7" width="12.6640625" style="2" customWidth="1"/>
    <col min="8" max="8" width="21.109375" style="2" customWidth="1"/>
    <col min="9" max="9" width="24.109375" style="2" customWidth="1"/>
    <col min="10" max="10" width="30.44140625" style="2" customWidth="1"/>
    <col min="11" max="11" width="25.5546875" style="2" customWidth="1"/>
    <col min="12" max="12" width="22.109375" style="2" customWidth="1"/>
    <col min="13" max="13" width="34.109375" style="2" customWidth="1"/>
    <col min="14" max="14" width="17.88671875" style="2" bestFit="1" customWidth="1"/>
    <col min="15" max="15" width="24.109375" style="108" customWidth="1"/>
    <col min="16" max="16" width="3.109375" style="2" customWidth="1"/>
  </cols>
  <sheetData>
    <row r="4" spans="2:18" ht="15" thickBot="1"/>
    <row r="5" spans="2:18" ht="21.6" thickBot="1">
      <c r="B5" s="664" t="s">
        <v>465</v>
      </c>
      <c r="C5" s="665"/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6"/>
      <c r="P5" s="3"/>
    </row>
    <row r="6" spans="2:18" ht="17.399999999999999">
      <c r="B6" s="50" t="s">
        <v>474</v>
      </c>
      <c r="C6" s="51"/>
      <c r="D6" s="40"/>
      <c r="E6" s="40"/>
      <c r="F6" s="40"/>
      <c r="G6" s="41"/>
      <c r="H6" s="38" t="s">
        <v>468</v>
      </c>
      <c r="I6" s="42" t="s">
        <v>466</v>
      </c>
      <c r="J6" s="40"/>
      <c r="K6" s="40"/>
      <c r="L6" s="40"/>
      <c r="M6" s="40"/>
      <c r="N6" s="40"/>
      <c r="O6" s="162"/>
      <c r="P6" s="3"/>
    </row>
    <row r="7" spans="2:18" ht="17.399999999999999">
      <c r="B7" s="52" t="s">
        <v>469</v>
      </c>
      <c r="C7" s="53" t="s">
        <v>473</v>
      </c>
      <c r="D7" s="45"/>
      <c r="E7" s="44"/>
      <c r="F7" s="155"/>
      <c r="G7" s="47"/>
      <c r="H7" s="44" t="s">
        <v>471</v>
      </c>
      <c r="I7" s="44"/>
      <c r="J7" s="44"/>
      <c r="K7" s="44"/>
      <c r="L7" s="44"/>
      <c r="M7" s="44"/>
      <c r="N7" s="44"/>
      <c r="O7" s="163"/>
      <c r="P7" s="3"/>
    </row>
    <row r="8" spans="2:18" ht="17.399999999999999">
      <c r="B8" s="678" t="s">
        <v>472</v>
      </c>
      <c r="C8" s="679"/>
      <c r="E8" s="46"/>
      <c r="F8" s="156"/>
      <c r="G8" s="48"/>
      <c r="H8" s="46" t="s">
        <v>470</v>
      </c>
      <c r="J8" s="46"/>
      <c r="K8" s="46"/>
      <c r="L8" s="46"/>
      <c r="M8" s="46"/>
      <c r="N8" s="46"/>
      <c r="O8" s="164"/>
      <c r="P8" s="3"/>
    </row>
    <row r="9" spans="2:18" ht="18" thickBot="1">
      <c r="B9" s="676" t="s">
        <v>475</v>
      </c>
      <c r="C9" s="677"/>
      <c r="D9" s="155"/>
      <c r="E9" s="44"/>
      <c r="F9" s="155"/>
      <c r="G9" s="47"/>
      <c r="H9" s="39" t="s">
        <v>467</v>
      </c>
      <c r="I9" s="224" t="s">
        <v>620</v>
      </c>
      <c r="J9" s="44"/>
      <c r="K9" s="44"/>
      <c r="L9" s="44"/>
      <c r="M9" s="44"/>
      <c r="N9" s="44"/>
      <c r="O9" s="163"/>
      <c r="P9" s="3"/>
    </row>
    <row r="10" spans="2:18" ht="63" thickBot="1">
      <c r="B10" s="87" t="s">
        <v>51</v>
      </c>
      <c r="C10" s="88" t="s">
        <v>20</v>
      </c>
      <c r="D10" s="89" t="s">
        <v>0</v>
      </c>
      <c r="E10" s="90" t="s">
        <v>148</v>
      </c>
      <c r="F10" s="90" t="s">
        <v>160</v>
      </c>
      <c r="G10" s="90" t="s">
        <v>154</v>
      </c>
      <c r="H10" s="90" t="s">
        <v>140</v>
      </c>
      <c r="I10" s="91" t="s">
        <v>53</v>
      </c>
      <c r="J10" s="90" t="s">
        <v>52</v>
      </c>
      <c r="K10" s="90" t="s">
        <v>344</v>
      </c>
      <c r="L10" s="90" t="s">
        <v>343</v>
      </c>
      <c r="M10" s="90" t="s">
        <v>161</v>
      </c>
      <c r="N10" s="92" t="s">
        <v>1</v>
      </c>
      <c r="O10" s="731" t="s">
        <v>629</v>
      </c>
      <c r="P10" s="4"/>
      <c r="R10" s="24"/>
    </row>
    <row r="11" spans="2:18" ht="16.2" thickBot="1">
      <c r="B11" s="118"/>
      <c r="C11" s="119" t="s">
        <v>347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1"/>
      <c r="O11" s="121"/>
      <c r="P11" s="4"/>
    </row>
    <row r="12" spans="2:18" ht="15.6">
      <c r="B12" s="682" t="s">
        <v>349</v>
      </c>
      <c r="C12" s="238" t="s">
        <v>350</v>
      </c>
      <c r="D12" s="239" t="s">
        <v>351</v>
      </c>
      <c r="E12" s="240">
        <v>14616.97</v>
      </c>
      <c r="F12" s="240">
        <v>0</v>
      </c>
      <c r="G12" s="240">
        <f>E12-F12</f>
        <v>14616.97</v>
      </c>
      <c r="H12" s="241" t="s">
        <v>428</v>
      </c>
      <c r="I12" s="241">
        <f>SUM(I13:I14)</f>
        <v>18821</v>
      </c>
      <c r="J12" s="240"/>
      <c r="K12" s="240"/>
      <c r="L12" s="242">
        <f>BDI_SERVIÇOS_MATERIAIS!$E$11*I12</f>
        <v>5486.8545063858637</v>
      </c>
      <c r="M12" s="243">
        <f>I12+L12</f>
        <v>24307.854506385862</v>
      </c>
      <c r="N12" s="244"/>
      <c r="O12" s="245"/>
      <c r="P12" s="4"/>
    </row>
    <row r="13" spans="2:18" ht="15.6">
      <c r="B13" s="683"/>
      <c r="C13" s="246" t="s">
        <v>353</v>
      </c>
      <c r="D13" s="247" t="s">
        <v>159</v>
      </c>
      <c r="E13" s="248">
        <v>100</v>
      </c>
      <c r="F13" s="248">
        <v>0</v>
      </c>
      <c r="G13" s="248">
        <f>E13-F13</f>
        <v>100</v>
      </c>
      <c r="H13" s="249">
        <v>107.11</v>
      </c>
      <c r="I13" s="250">
        <f>H13*G13</f>
        <v>10711</v>
      </c>
      <c r="J13" s="248"/>
      <c r="K13" s="248"/>
      <c r="L13" s="251">
        <f>BDI_SERVIÇOS_MATERIAIS!$E$11*I13</f>
        <v>3122.5598330534499</v>
      </c>
      <c r="M13" s="252"/>
      <c r="N13" s="253" t="s">
        <v>5</v>
      </c>
      <c r="O13" s="254">
        <v>90778</v>
      </c>
      <c r="P13" s="4"/>
    </row>
    <row r="14" spans="2:18" ht="16.2" thickBot="1">
      <c r="B14" s="684"/>
      <c r="C14" s="255" t="s">
        <v>480</v>
      </c>
      <c r="D14" s="256" t="s">
        <v>159</v>
      </c>
      <c r="E14" s="257">
        <v>200</v>
      </c>
      <c r="F14" s="257">
        <v>0</v>
      </c>
      <c r="G14" s="257">
        <f>E14-F14</f>
        <v>200</v>
      </c>
      <c r="H14" s="258">
        <v>40.549999999999997</v>
      </c>
      <c r="I14" s="258">
        <f>H14*G14</f>
        <v>8109.9999999999991</v>
      </c>
      <c r="J14" s="257"/>
      <c r="K14" s="257"/>
      <c r="L14" s="259">
        <f>BDI_SERVIÇOS_MATERIAIS!$E$11*I14</f>
        <v>2364.2946733324129</v>
      </c>
      <c r="M14" s="260"/>
      <c r="N14" s="261" t="s">
        <v>5</v>
      </c>
      <c r="O14" s="262">
        <v>90775</v>
      </c>
      <c r="P14" s="4"/>
    </row>
    <row r="15" spans="2:18" ht="16.2" thickBot="1">
      <c r="B15" s="263">
        <v>1</v>
      </c>
      <c r="C15" s="264" t="s">
        <v>376</v>
      </c>
      <c r="D15" s="265"/>
      <c r="E15" s="265"/>
      <c r="F15" s="265"/>
      <c r="G15" s="265"/>
      <c r="H15" s="265"/>
      <c r="I15" s="265"/>
      <c r="J15" s="265"/>
      <c r="K15" s="265"/>
      <c r="L15" s="265"/>
      <c r="M15" s="265"/>
      <c r="N15" s="266"/>
      <c r="O15" s="267"/>
      <c r="P15" s="5"/>
    </row>
    <row r="16" spans="2:18" ht="31.2">
      <c r="B16" s="233" t="s">
        <v>54</v>
      </c>
      <c r="C16" s="268" t="s">
        <v>169</v>
      </c>
      <c r="D16" s="269" t="s">
        <v>7</v>
      </c>
      <c r="E16" s="269">
        <v>13</v>
      </c>
      <c r="F16" s="269"/>
      <c r="G16" s="269"/>
      <c r="H16" s="269"/>
      <c r="I16" s="270">
        <f>SUM(I17:I26)</f>
        <v>2044.32618</v>
      </c>
      <c r="J16" s="270">
        <f>SUM(J17:J26)</f>
        <v>40104.449999999997</v>
      </c>
      <c r="K16" s="271">
        <f>BDI_SERVIÇOS_MATERIAIS!E11*J16</f>
        <v>11691.582923788668</v>
      </c>
      <c r="L16" s="271">
        <f>BDI_SERVIÇOS_MATERIAIS!$E$11*I16</f>
        <v>595.97897631664614</v>
      </c>
      <c r="M16" s="270">
        <f>I16+J16+K16+L16</f>
        <v>54436.338080105314</v>
      </c>
      <c r="N16" s="269"/>
      <c r="O16" s="272"/>
      <c r="P16" s="6"/>
    </row>
    <row r="17" spans="2:16" ht="60.6">
      <c r="B17" s="233"/>
      <c r="C17" s="273" t="s">
        <v>168</v>
      </c>
      <c r="D17" s="253" t="s">
        <v>7</v>
      </c>
      <c r="E17" s="253">
        <v>13</v>
      </c>
      <c r="F17" s="253">
        <v>0</v>
      </c>
      <c r="G17" s="253">
        <f>E17-F17</f>
        <v>13</v>
      </c>
      <c r="H17" s="274">
        <v>1793.1</v>
      </c>
      <c r="I17" s="253"/>
      <c r="J17" s="249">
        <f>G17*H17</f>
        <v>23310.3</v>
      </c>
      <c r="K17" s="249">
        <f>BDI_SERVIÇOS_MATERIAIS!$E$11*J17</f>
        <v>6795.6125923280588</v>
      </c>
      <c r="L17" s="249"/>
      <c r="M17" s="249"/>
      <c r="N17" s="253" t="s">
        <v>3</v>
      </c>
      <c r="O17" s="623">
        <v>44774</v>
      </c>
      <c r="P17" s="6"/>
    </row>
    <row r="18" spans="2:16" ht="30">
      <c r="B18" s="233"/>
      <c r="C18" s="275" t="s">
        <v>2</v>
      </c>
      <c r="D18" s="253" t="s">
        <v>7</v>
      </c>
      <c r="E18" s="253">
        <v>26</v>
      </c>
      <c r="F18" s="253">
        <v>0</v>
      </c>
      <c r="G18" s="253">
        <f>E18-F18</f>
        <v>26</v>
      </c>
      <c r="H18" s="249">
        <v>332.14</v>
      </c>
      <c r="I18" s="249"/>
      <c r="J18" s="249">
        <f t="shared" ref="J18:J24" si="0">G18*H18</f>
        <v>8635.64</v>
      </c>
      <c r="K18" s="249">
        <f>BDI_SERVIÇOS_MATERIAIS!$E$11*J18</f>
        <v>2517.5336193361677</v>
      </c>
      <c r="L18" s="249"/>
      <c r="M18" s="249"/>
      <c r="N18" s="253" t="s">
        <v>5</v>
      </c>
      <c r="O18" s="254">
        <v>37555</v>
      </c>
      <c r="P18" s="6"/>
    </row>
    <row r="19" spans="2:16" ht="45.6">
      <c r="B19" s="233"/>
      <c r="C19" s="273" t="s">
        <v>13</v>
      </c>
      <c r="D19" s="253" t="s">
        <v>7</v>
      </c>
      <c r="E19" s="253">
        <v>52</v>
      </c>
      <c r="F19" s="253">
        <v>46</v>
      </c>
      <c r="G19" s="253">
        <f>E19-F19</f>
        <v>6</v>
      </c>
      <c r="H19" s="249">
        <v>682.57</v>
      </c>
      <c r="I19" s="249"/>
      <c r="J19" s="249">
        <f t="shared" si="0"/>
        <v>4095.42</v>
      </c>
      <c r="K19" s="249">
        <f>BDI_SERVIÇOS_MATERIAIS!$E$11*J19</f>
        <v>1193.9309113512986</v>
      </c>
      <c r="L19" s="249"/>
      <c r="M19" s="249"/>
      <c r="N19" s="253" t="s">
        <v>5</v>
      </c>
      <c r="O19" s="254">
        <v>21034</v>
      </c>
      <c r="P19" s="6"/>
    </row>
    <row r="20" spans="2:16" ht="30.6">
      <c r="B20" s="233"/>
      <c r="C20" s="273" t="s">
        <v>10</v>
      </c>
      <c r="D20" s="253" t="s">
        <v>7</v>
      </c>
      <c r="E20" s="253">
        <v>26</v>
      </c>
      <c r="F20" s="253">
        <v>17</v>
      </c>
      <c r="G20" s="253">
        <f t="shared" ref="G20:G22" si="1">E20-F20</f>
        <v>9</v>
      </c>
      <c r="H20" s="249">
        <v>22.14</v>
      </c>
      <c r="I20" s="249"/>
      <c r="J20" s="249">
        <f t="shared" si="0"/>
        <v>199.26</v>
      </c>
      <c r="K20" s="249">
        <f>BDI_SERVIÇOS_MATERIAIS!$E$11*J20</f>
        <v>58.089932997314015</v>
      </c>
      <c r="L20" s="249"/>
      <c r="M20" s="249"/>
      <c r="N20" s="253" t="s">
        <v>5</v>
      </c>
      <c r="O20" s="254">
        <v>20971</v>
      </c>
      <c r="P20" s="6"/>
    </row>
    <row r="21" spans="2:16" ht="15.6">
      <c r="B21" s="233"/>
      <c r="C21" s="273" t="s">
        <v>11</v>
      </c>
      <c r="D21" s="253" t="s">
        <v>7</v>
      </c>
      <c r="E21" s="253">
        <v>26</v>
      </c>
      <c r="F21" s="253">
        <v>17</v>
      </c>
      <c r="G21" s="253">
        <f>E21-F21</f>
        <v>9</v>
      </c>
      <c r="H21" s="276">
        <v>77.8</v>
      </c>
      <c r="I21" s="277"/>
      <c r="J21" s="249">
        <f>H21*G21</f>
        <v>700.19999999999993</v>
      </c>
      <c r="K21" s="249">
        <f>BDI_SERVIÇOS_MATERIAIS!$E$11*J21</f>
        <v>204.12812950275656</v>
      </c>
      <c r="L21" s="249"/>
      <c r="M21" s="249"/>
      <c r="N21" s="253" t="s">
        <v>12</v>
      </c>
      <c r="O21" s="623">
        <v>44774</v>
      </c>
      <c r="P21" s="6"/>
    </row>
    <row r="22" spans="2:16" ht="30.6">
      <c r="B22" s="233"/>
      <c r="C22" s="273" t="s">
        <v>9</v>
      </c>
      <c r="D22" s="253" t="s">
        <v>7</v>
      </c>
      <c r="E22" s="253">
        <v>26</v>
      </c>
      <c r="F22" s="253">
        <v>23</v>
      </c>
      <c r="G22" s="253">
        <f t="shared" si="1"/>
        <v>3</v>
      </c>
      <c r="H22" s="249">
        <v>203.71</v>
      </c>
      <c r="I22" s="249"/>
      <c r="J22" s="249">
        <f t="shared" si="0"/>
        <v>611.13</v>
      </c>
      <c r="K22" s="249">
        <f>BDI_SERVIÇOS_MATERIAIS!$E$11*J22</f>
        <v>178.16170206086778</v>
      </c>
      <c r="L22" s="249"/>
      <c r="M22" s="249"/>
      <c r="N22" s="253" t="s">
        <v>5</v>
      </c>
      <c r="O22" s="254">
        <v>20974</v>
      </c>
      <c r="P22" s="6"/>
    </row>
    <row r="23" spans="2:16" ht="15.6">
      <c r="B23" s="233"/>
      <c r="C23" s="278" t="s">
        <v>153</v>
      </c>
      <c r="D23" s="253" t="s">
        <v>7</v>
      </c>
      <c r="E23" s="253">
        <v>46</v>
      </c>
      <c r="F23" s="253">
        <v>0</v>
      </c>
      <c r="G23" s="253">
        <f>E23-F23</f>
        <v>46</v>
      </c>
      <c r="H23" s="249">
        <v>10</v>
      </c>
      <c r="I23" s="249"/>
      <c r="J23" s="249">
        <f t="shared" si="0"/>
        <v>460</v>
      </c>
      <c r="K23" s="249">
        <f>BDI_SERVIÇOS_MATERIAIS!$E$11*J23</f>
        <v>134.10302709407031</v>
      </c>
      <c r="L23" s="249"/>
      <c r="M23" s="249"/>
      <c r="N23" s="253" t="s">
        <v>12</v>
      </c>
      <c r="O23" s="623">
        <v>44774</v>
      </c>
      <c r="P23" s="6"/>
    </row>
    <row r="24" spans="2:16" ht="45.6">
      <c r="B24" s="233"/>
      <c r="C24" s="273" t="s">
        <v>4</v>
      </c>
      <c r="D24" s="253" t="s">
        <v>7</v>
      </c>
      <c r="E24" s="253">
        <v>26</v>
      </c>
      <c r="F24" s="253">
        <v>17</v>
      </c>
      <c r="G24" s="253">
        <f>E24-F24</f>
        <v>9</v>
      </c>
      <c r="H24" s="249">
        <v>232.5</v>
      </c>
      <c r="I24" s="249"/>
      <c r="J24" s="249">
        <f t="shared" si="0"/>
        <v>2092.5</v>
      </c>
      <c r="K24" s="249">
        <f>BDI_SERVIÇOS_MATERIAIS!$E$11*J24</f>
        <v>610.02300911813506</v>
      </c>
      <c r="L24" s="249"/>
      <c r="M24" s="249"/>
      <c r="N24" s="253" t="s">
        <v>5</v>
      </c>
      <c r="O24" s="254">
        <v>10904</v>
      </c>
      <c r="P24" s="6"/>
    </row>
    <row r="25" spans="2:16" ht="15.6">
      <c r="B25" s="233"/>
      <c r="C25" s="273" t="s">
        <v>157</v>
      </c>
      <c r="D25" s="253" t="s">
        <v>159</v>
      </c>
      <c r="E25" s="279">
        <f>3.037*E16</f>
        <v>39.481000000000002</v>
      </c>
      <c r="F25" s="253">
        <v>0</v>
      </c>
      <c r="G25" s="279">
        <f>E25-F25</f>
        <v>39.481000000000002</v>
      </c>
      <c r="H25" s="249">
        <v>29.06</v>
      </c>
      <c r="I25" s="249">
        <f>G25*H25</f>
        <v>1147.3178600000001</v>
      </c>
      <c r="J25" s="249"/>
      <c r="K25" s="249"/>
      <c r="L25" s="249">
        <f>BDI_SERVIÇOS_MATERIAIS!$E$11*I25</f>
        <v>334.47564796758866</v>
      </c>
      <c r="M25" s="249"/>
      <c r="N25" s="253" t="s">
        <v>5</v>
      </c>
      <c r="O25" s="254">
        <v>88267</v>
      </c>
      <c r="P25" s="6"/>
    </row>
    <row r="26" spans="2:16" ht="16.2" thickBot="1">
      <c r="B26" s="233"/>
      <c r="C26" s="280" t="s">
        <v>158</v>
      </c>
      <c r="D26" s="281" t="s">
        <v>159</v>
      </c>
      <c r="E26" s="282">
        <f>3.037*E16</f>
        <v>39.481000000000002</v>
      </c>
      <c r="F26" s="281">
        <v>0</v>
      </c>
      <c r="G26" s="282">
        <f>E26-F26</f>
        <v>39.481000000000002</v>
      </c>
      <c r="H26" s="283">
        <v>22.72</v>
      </c>
      <c r="I26" s="283">
        <f>G26*H26</f>
        <v>897.00832000000003</v>
      </c>
      <c r="J26" s="283"/>
      <c r="K26" s="283"/>
      <c r="L26" s="283">
        <f>BDI_SERVIÇOS_MATERIAIS!$E$11*I26</f>
        <v>261.5033283490576</v>
      </c>
      <c r="M26" s="283"/>
      <c r="N26" s="281" t="s">
        <v>5</v>
      </c>
      <c r="O26" s="284">
        <v>88316</v>
      </c>
      <c r="P26" s="6"/>
    </row>
    <row r="27" spans="2:16" ht="15.6">
      <c r="B27" s="285" t="s">
        <v>55</v>
      </c>
      <c r="C27" s="286" t="s">
        <v>170</v>
      </c>
      <c r="D27" s="244" t="s">
        <v>8</v>
      </c>
      <c r="E27" s="244">
        <v>6</v>
      </c>
      <c r="F27" s="244"/>
      <c r="G27" s="244"/>
      <c r="H27" s="287"/>
      <c r="I27" s="288">
        <f>SUM(I28:I36)</f>
        <v>242.51999999999998</v>
      </c>
      <c r="J27" s="270">
        <f>SUM(J28:J36)</f>
        <v>8967.9</v>
      </c>
      <c r="K27" s="270">
        <f>BDI_SERVIÇOS_MATERIAIS!$E$11*J27</f>
        <v>2614.3968188628542</v>
      </c>
      <c r="L27" s="270">
        <f>BDI_SERVIÇOS_MATERIAIS!$E$11*I27</f>
        <v>70.701448110552022</v>
      </c>
      <c r="M27" s="288">
        <f>I27+J27+K27+L27</f>
        <v>11895.518266973408</v>
      </c>
      <c r="N27" s="244"/>
      <c r="O27" s="245"/>
      <c r="P27" s="6"/>
    </row>
    <row r="28" spans="2:16" ht="60.6">
      <c r="B28" s="233"/>
      <c r="C28" s="273" t="s">
        <v>6</v>
      </c>
      <c r="D28" s="253" t="s">
        <v>7</v>
      </c>
      <c r="E28" s="253">
        <f>E27</f>
        <v>6</v>
      </c>
      <c r="F28" s="253">
        <v>6</v>
      </c>
      <c r="G28" s="253">
        <f t="shared" ref="G28:G36" si="2">E28-F28</f>
        <v>0</v>
      </c>
      <c r="H28" s="249">
        <v>414.79</v>
      </c>
      <c r="I28" s="249"/>
      <c r="J28" s="249">
        <f t="shared" ref="J28:J34" si="3">G28*H28</f>
        <v>0</v>
      </c>
      <c r="K28" s="249">
        <f>BDI_SERVIÇOS_MATERIAIS!$E$11*J28</f>
        <v>0</v>
      </c>
      <c r="L28" s="249"/>
      <c r="M28" s="249"/>
      <c r="N28" s="253" t="s">
        <v>5</v>
      </c>
      <c r="O28" s="254">
        <v>10885</v>
      </c>
      <c r="P28" s="6"/>
    </row>
    <row r="29" spans="2:16" ht="30">
      <c r="B29" s="233"/>
      <c r="C29" s="275" t="s">
        <v>15</v>
      </c>
      <c r="D29" s="253" t="s">
        <v>8</v>
      </c>
      <c r="E29" s="253">
        <v>6</v>
      </c>
      <c r="F29" s="253">
        <v>0</v>
      </c>
      <c r="G29" s="253">
        <f>E29-F29</f>
        <v>6</v>
      </c>
      <c r="H29" s="249">
        <v>273.04000000000002</v>
      </c>
      <c r="I29" s="249"/>
      <c r="J29" s="249">
        <f t="shared" si="3"/>
        <v>1638.2400000000002</v>
      </c>
      <c r="K29" s="249">
        <f>BDI_SERVIÇOS_MATERIAIS!$E$11*J29</f>
        <v>477.59335457954296</v>
      </c>
      <c r="L29" s="249"/>
      <c r="M29" s="249"/>
      <c r="N29" s="253" t="s">
        <v>5</v>
      </c>
      <c r="O29" s="254">
        <v>37554</v>
      </c>
      <c r="P29" s="6"/>
    </row>
    <row r="30" spans="2:16" s="1" customFormat="1" ht="45.6">
      <c r="B30" s="233"/>
      <c r="C30" s="273" t="s">
        <v>4</v>
      </c>
      <c r="D30" s="253" t="s">
        <v>7</v>
      </c>
      <c r="E30" s="253">
        <v>6</v>
      </c>
      <c r="F30" s="253">
        <v>6</v>
      </c>
      <c r="G30" s="253">
        <f t="shared" si="2"/>
        <v>0</v>
      </c>
      <c r="H30" s="249">
        <v>232.5</v>
      </c>
      <c r="I30" s="249"/>
      <c r="J30" s="249">
        <f t="shared" si="3"/>
        <v>0</v>
      </c>
      <c r="K30" s="249">
        <f>BDI_SERVIÇOS_MATERIAIS!$E$11*J30</f>
        <v>0</v>
      </c>
      <c r="L30" s="249"/>
      <c r="M30" s="249"/>
      <c r="N30" s="253" t="s">
        <v>5</v>
      </c>
      <c r="O30" s="254">
        <v>10904</v>
      </c>
      <c r="P30" s="6"/>
    </row>
    <row r="31" spans="2:16" ht="30.6">
      <c r="B31" s="233"/>
      <c r="C31" s="273" t="s">
        <v>9</v>
      </c>
      <c r="D31" s="253" t="s">
        <v>7</v>
      </c>
      <c r="E31" s="253">
        <v>6</v>
      </c>
      <c r="F31" s="253">
        <v>0</v>
      </c>
      <c r="G31" s="253">
        <f t="shared" si="2"/>
        <v>6</v>
      </c>
      <c r="H31" s="249">
        <v>203.71</v>
      </c>
      <c r="I31" s="249"/>
      <c r="J31" s="249">
        <f t="shared" si="3"/>
        <v>1222.26</v>
      </c>
      <c r="K31" s="249">
        <f>BDI_SERVIÇOS_MATERIAIS!$E$11*J31</f>
        <v>356.32340412173556</v>
      </c>
      <c r="L31" s="249"/>
      <c r="M31" s="249"/>
      <c r="N31" s="253" t="s">
        <v>5</v>
      </c>
      <c r="O31" s="254">
        <v>20974</v>
      </c>
      <c r="P31" s="6"/>
    </row>
    <row r="32" spans="2:16" ht="30.6">
      <c r="B32" s="233"/>
      <c r="C32" s="273" t="s">
        <v>10</v>
      </c>
      <c r="D32" s="253" t="s">
        <v>7</v>
      </c>
      <c r="E32" s="253">
        <v>6</v>
      </c>
      <c r="F32" s="253">
        <v>6</v>
      </c>
      <c r="G32" s="253">
        <f t="shared" si="2"/>
        <v>0</v>
      </c>
      <c r="H32" s="249">
        <v>22.14</v>
      </c>
      <c r="I32" s="249"/>
      <c r="J32" s="249">
        <f t="shared" si="3"/>
        <v>0</v>
      </c>
      <c r="K32" s="249">
        <f>BDI_SERVIÇOS_MATERIAIS!$E$11*J32</f>
        <v>0</v>
      </c>
      <c r="L32" s="249"/>
      <c r="M32" s="249"/>
      <c r="N32" s="253" t="s">
        <v>5</v>
      </c>
      <c r="O32" s="254">
        <v>20971</v>
      </c>
      <c r="P32" s="6"/>
    </row>
    <row r="33" spans="2:16" ht="15.6">
      <c r="B33" s="233"/>
      <c r="C33" s="273" t="s">
        <v>11</v>
      </c>
      <c r="D33" s="253" t="s">
        <v>7</v>
      </c>
      <c r="E33" s="253">
        <v>6</v>
      </c>
      <c r="F33" s="253">
        <v>6</v>
      </c>
      <c r="G33" s="253">
        <f t="shared" si="2"/>
        <v>0</v>
      </c>
      <c r="H33" s="276">
        <v>77.8</v>
      </c>
      <c r="I33" s="277"/>
      <c r="J33" s="249">
        <f t="shared" si="3"/>
        <v>0</v>
      </c>
      <c r="K33" s="249">
        <f>BDI_SERVIÇOS_MATERIAIS!$E$11*J33</f>
        <v>0</v>
      </c>
      <c r="L33" s="249"/>
      <c r="M33" s="249"/>
      <c r="N33" s="253" t="s">
        <v>12</v>
      </c>
      <c r="O33" s="623">
        <v>44774</v>
      </c>
      <c r="P33" s="6"/>
    </row>
    <row r="34" spans="2:16" ht="45.6">
      <c r="B34" s="233"/>
      <c r="C34" s="273" t="s">
        <v>14</v>
      </c>
      <c r="D34" s="253" t="s">
        <v>7</v>
      </c>
      <c r="E34" s="253">
        <v>12</v>
      </c>
      <c r="F34" s="253">
        <v>0</v>
      </c>
      <c r="G34" s="253">
        <f t="shared" si="2"/>
        <v>12</v>
      </c>
      <c r="H34" s="249">
        <v>508.95</v>
      </c>
      <c r="I34" s="249"/>
      <c r="J34" s="249">
        <f t="shared" si="3"/>
        <v>6107.4</v>
      </c>
      <c r="K34" s="249">
        <f>BDI_SERVIÇOS_MATERIAIS!$E$11*J34</f>
        <v>1780.4800601615759</v>
      </c>
      <c r="L34" s="249"/>
      <c r="M34" s="249"/>
      <c r="N34" s="253" t="s">
        <v>5</v>
      </c>
      <c r="O34" s="254">
        <v>37527</v>
      </c>
      <c r="P34" s="6"/>
    </row>
    <row r="35" spans="2:16" ht="15.6">
      <c r="B35" s="233"/>
      <c r="C35" s="273" t="s">
        <v>157</v>
      </c>
      <c r="D35" s="253" t="s">
        <v>159</v>
      </c>
      <c r="E35" s="253">
        <f>E27</f>
        <v>6</v>
      </c>
      <c r="F35" s="253">
        <v>0</v>
      </c>
      <c r="G35" s="253">
        <f t="shared" si="2"/>
        <v>6</v>
      </c>
      <c r="H35" s="249">
        <v>29.06</v>
      </c>
      <c r="I35" s="249">
        <f>G35*H35</f>
        <v>174.35999999999999</v>
      </c>
      <c r="J35" s="249"/>
      <c r="K35" s="249"/>
      <c r="L35" s="249">
        <f>BDI_SERVIÇOS_MATERIAIS!$E$11*I35</f>
        <v>50.830877835048035</v>
      </c>
      <c r="M35" s="249"/>
      <c r="N35" s="253" t="s">
        <v>5</v>
      </c>
      <c r="O35" s="254">
        <v>88267</v>
      </c>
      <c r="P35" s="6"/>
    </row>
    <row r="36" spans="2:16" ht="16.2" thickBot="1">
      <c r="B36" s="289"/>
      <c r="C36" s="280" t="s">
        <v>158</v>
      </c>
      <c r="D36" s="281" t="s">
        <v>159</v>
      </c>
      <c r="E36" s="281">
        <f>E27*0.5</f>
        <v>3</v>
      </c>
      <c r="F36" s="281">
        <v>0</v>
      </c>
      <c r="G36" s="281">
        <f t="shared" si="2"/>
        <v>3</v>
      </c>
      <c r="H36" s="283">
        <v>22.72</v>
      </c>
      <c r="I36" s="283">
        <f>G36*H36</f>
        <v>68.16</v>
      </c>
      <c r="J36" s="283"/>
      <c r="K36" s="283"/>
      <c r="L36" s="283">
        <f>BDI_SERVIÇOS_MATERIAIS!$E$11*I36</f>
        <v>19.870570275503979</v>
      </c>
      <c r="M36" s="283"/>
      <c r="N36" s="281" t="s">
        <v>5</v>
      </c>
      <c r="O36" s="284">
        <v>88316</v>
      </c>
      <c r="P36" s="6"/>
    </row>
    <row r="37" spans="2:16" ht="15.6">
      <c r="B37" s="285" t="s">
        <v>56</v>
      </c>
      <c r="C37" s="290" t="s">
        <v>171</v>
      </c>
      <c r="D37" s="244" t="s">
        <v>8</v>
      </c>
      <c r="E37" s="244">
        <v>1</v>
      </c>
      <c r="F37" s="244"/>
      <c r="G37" s="244"/>
      <c r="H37" s="287"/>
      <c r="I37" s="288">
        <f>SUM(I38:I45)</f>
        <v>103.56</v>
      </c>
      <c r="J37" s="288">
        <f>SUM(J38:J45)</f>
        <v>1053.2</v>
      </c>
      <c r="K37" s="288">
        <f>BDI_SERVIÇOS_MATERIAIS!$E$11*J37</f>
        <v>307.03762638146708</v>
      </c>
      <c r="L37" s="288">
        <f>BDI_SERVIÇOS_MATERIAIS!$E$11*I37</f>
        <v>30.190672795352</v>
      </c>
      <c r="M37" s="288">
        <f>I37+J37+K37+L37</f>
        <v>1493.9882991768191</v>
      </c>
      <c r="N37" s="244"/>
      <c r="O37" s="245"/>
      <c r="P37" s="6"/>
    </row>
    <row r="38" spans="2:16" ht="30.6">
      <c r="B38" s="233"/>
      <c r="C38" s="273" t="s">
        <v>174</v>
      </c>
      <c r="D38" s="253" t="s">
        <v>8</v>
      </c>
      <c r="E38" s="253">
        <v>1</v>
      </c>
      <c r="F38" s="253">
        <v>0</v>
      </c>
      <c r="G38" s="253">
        <f t="shared" ref="G38:G45" si="4">E38-F38</f>
        <v>1</v>
      </c>
      <c r="H38" s="249">
        <v>255.28</v>
      </c>
      <c r="I38" s="276"/>
      <c r="J38" s="249">
        <f t="shared" ref="J38:J42" si="5">G38*H38</f>
        <v>255.28</v>
      </c>
      <c r="K38" s="249">
        <f>BDI_SERVIÇOS_MATERIAIS!$E$11*J38</f>
        <v>74.421349470813624</v>
      </c>
      <c r="L38" s="249"/>
      <c r="M38" s="249"/>
      <c r="N38" s="253" t="s">
        <v>5</v>
      </c>
      <c r="O38" s="254">
        <v>12657</v>
      </c>
      <c r="P38" s="6"/>
    </row>
    <row r="39" spans="2:16" ht="45.6">
      <c r="B39" s="233"/>
      <c r="C39" s="273" t="s">
        <v>4</v>
      </c>
      <c r="D39" s="253" t="s">
        <v>7</v>
      </c>
      <c r="E39" s="253">
        <v>1</v>
      </c>
      <c r="F39" s="253">
        <v>0</v>
      </c>
      <c r="G39" s="253">
        <f t="shared" si="4"/>
        <v>1</v>
      </c>
      <c r="H39" s="249">
        <v>232.5</v>
      </c>
      <c r="I39" s="276"/>
      <c r="J39" s="249">
        <f t="shared" si="5"/>
        <v>232.5</v>
      </c>
      <c r="K39" s="249">
        <f>BDI_SERVIÇOS_MATERIAIS!$E$11*J39</f>
        <v>67.780334346459441</v>
      </c>
      <c r="L39" s="249"/>
      <c r="M39" s="249"/>
      <c r="N39" s="253" t="s">
        <v>5</v>
      </c>
      <c r="O39" s="254">
        <v>10904</v>
      </c>
      <c r="P39" s="6"/>
    </row>
    <row r="40" spans="2:16" ht="30.6">
      <c r="B40" s="233"/>
      <c r="C40" s="273" t="s">
        <v>9</v>
      </c>
      <c r="D40" s="253" t="s">
        <v>7</v>
      </c>
      <c r="E40" s="253">
        <v>1</v>
      </c>
      <c r="F40" s="253">
        <v>0</v>
      </c>
      <c r="G40" s="253">
        <f t="shared" si="4"/>
        <v>1</v>
      </c>
      <c r="H40" s="249">
        <v>203.71</v>
      </c>
      <c r="I40" s="276"/>
      <c r="J40" s="249">
        <f t="shared" si="5"/>
        <v>203.71</v>
      </c>
      <c r="K40" s="249">
        <f>BDI_SERVIÇOS_MATERIAIS!$E$11*J40</f>
        <v>59.387234020289263</v>
      </c>
      <c r="L40" s="249"/>
      <c r="M40" s="249"/>
      <c r="N40" s="253" t="s">
        <v>5</v>
      </c>
      <c r="O40" s="254">
        <v>20974</v>
      </c>
      <c r="P40" s="6"/>
    </row>
    <row r="41" spans="2:16" ht="15.6">
      <c r="B41" s="233"/>
      <c r="C41" s="273" t="s">
        <v>173</v>
      </c>
      <c r="D41" s="253" t="s">
        <v>7</v>
      </c>
      <c r="E41" s="253">
        <v>1</v>
      </c>
      <c r="F41" s="253">
        <v>0</v>
      </c>
      <c r="G41" s="253">
        <f t="shared" si="4"/>
        <v>1</v>
      </c>
      <c r="H41" s="249">
        <v>95.2</v>
      </c>
      <c r="I41" s="276"/>
      <c r="J41" s="249">
        <f t="shared" si="5"/>
        <v>95.2</v>
      </c>
      <c r="K41" s="249">
        <f>BDI_SERVIÇOS_MATERIAIS!$E$11*J41</f>
        <v>27.75349604207716</v>
      </c>
      <c r="L41" s="249"/>
      <c r="M41" s="249"/>
      <c r="N41" s="253" t="s">
        <v>5</v>
      </c>
      <c r="O41" s="254">
        <v>3470</v>
      </c>
      <c r="P41" s="6"/>
    </row>
    <row r="42" spans="2:16" ht="15.6">
      <c r="B42" s="233"/>
      <c r="C42" s="273" t="s">
        <v>172</v>
      </c>
      <c r="D42" s="253" t="s">
        <v>7</v>
      </c>
      <c r="E42" s="253">
        <v>1</v>
      </c>
      <c r="F42" s="253">
        <v>0</v>
      </c>
      <c r="G42" s="253">
        <f t="shared" si="4"/>
        <v>1</v>
      </c>
      <c r="H42" s="249">
        <v>188.71</v>
      </c>
      <c r="I42" s="276"/>
      <c r="J42" s="249">
        <f t="shared" si="5"/>
        <v>188.71</v>
      </c>
      <c r="K42" s="249">
        <f>BDI_SERVIÇOS_MATERIAIS!$E$11*J42</f>
        <v>55.014309223743496</v>
      </c>
      <c r="L42" s="249"/>
      <c r="M42" s="249"/>
      <c r="N42" s="253" t="s">
        <v>5</v>
      </c>
      <c r="O42" s="254">
        <v>3932</v>
      </c>
      <c r="P42" s="6"/>
    </row>
    <row r="43" spans="2:16" ht="15.6">
      <c r="B43" s="233"/>
      <c r="C43" s="273" t="s">
        <v>11</v>
      </c>
      <c r="D43" s="253" t="s">
        <v>7</v>
      </c>
      <c r="E43" s="253">
        <v>1</v>
      </c>
      <c r="F43" s="253">
        <v>0</v>
      </c>
      <c r="G43" s="253">
        <f t="shared" si="4"/>
        <v>1</v>
      </c>
      <c r="H43" s="276">
        <v>77.8</v>
      </c>
      <c r="I43" s="276"/>
      <c r="J43" s="249">
        <f>G43*H43</f>
        <v>77.8</v>
      </c>
      <c r="K43" s="249">
        <f>BDI_SERVIÇOS_MATERIAIS!$E$11*J43</f>
        <v>22.680903278084063</v>
      </c>
      <c r="L43" s="249"/>
      <c r="M43" s="249"/>
      <c r="N43" s="253" t="s">
        <v>12</v>
      </c>
      <c r="O43" s="623">
        <v>44774</v>
      </c>
      <c r="P43" s="6"/>
    </row>
    <row r="44" spans="2:16" ht="15.6">
      <c r="B44" s="233"/>
      <c r="C44" s="273" t="s">
        <v>157</v>
      </c>
      <c r="D44" s="253" t="s">
        <v>159</v>
      </c>
      <c r="E44" s="253">
        <v>2</v>
      </c>
      <c r="F44" s="253">
        <v>0</v>
      </c>
      <c r="G44" s="253">
        <f t="shared" si="4"/>
        <v>2</v>
      </c>
      <c r="H44" s="249">
        <v>29.06</v>
      </c>
      <c r="I44" s="276">
        <f>G44*H44</f>
        <v>58.12</v>
      </c>
      <c r="J44" s="249"/>
      <c r="K44" s="249"/>
      <c r="L44" s="249">
        <f>BDI_SERVIÇOS_MATERIAIS!$E$11*I44</f>
        <v>16.943625945016013</v>
      </c>
      <c r="M44" s="249"/>
      <c r="N44" s="253" t="s">
        <v>5</v>
      </c>
      <c r="O44" s="254">
        <v>88267</v>
      </c>
      <c r="P44" s="6"/>
    </row>
    <row r="45" spans="2:16" ht="16.2" thickBot="1">
      <c r="B45" s="289"/>
      <c r="C45" s="280" t="s">
        <v>158</v>
      </c>
      <c r="D45" s="281" t="s">
        <v>159</v>
      </c>
      <c r="E45" s="281">
        <v>2</v>
      </c>
      <c r="F45" s="281">
        <v>0</v>
      </c>
      <c r="G45" s="281">
        <f t="shared" si="4"/>
        <v>2</v>
      </c>
      <c r="H45" s="283">
        <v>22.72</v>
      </c>
      <c r="I45" s="291">
        <f>G45*H45</f>
        <v>45.44</v>
      </c>
      <c r="J45" s="283"/>
      <c r="K45" s="283"/>
      <c r="L45" s="283">
        <f>BDI_SERVIÇOS_MATERIAIS!$E$11*I45</f>
        <v>13.247046850335988</v>
      </c>
      <c r="M45" s="283"/>
      <c r="N45" s="281" t="s">
        <v>5</v>
      </c>
      <c r="O45" s="284">
        <v>88316</v>
      </c>
      <c r="P45" s="6"/>
    </row>
    <row r="46" spans="2:16" ht="46.8">
      <c r="B46" s="285" t="s">
        <v>57</v>
      </c>
      <c r="C46" s="286" t="s">
        <v>617</v>
      </c>
      <c r="D46" s="244" t="s">
        <v>16</v>
      </c>
      <c r="E46" s="244">
        <v>117.35</v>
      </c>
      <c r="F46" s="244"/>
      <c r="G46" s="292"/>
      <c r="H46" s="287"/>
      <c r="I46" s="288">
        <f>SUM(I47:I49)</f>
        <v>1553.6905299999999</v>
      </c>
      <c r="J46" s="288">
        <f>SUM(J47:J49)</f>
        <v>14764.098048499998</v>
      </c>
      <c r="K46" s="288">
        <f>BDI_SERVIÇOS_MATERIAIS!$E$11*J46</f>
        <v>4304.152696994578</v>
      </c>
      <c r="L46" s="288">
        <f>BDI_SERVIÇOS_MATERIAIS!$E$11*I46</f>
        <v>452.94478965302267</v>
      </c>
      <c r="M46" s="288">
        <f>I46+J46+K46+L46</f>
        <v>21074.886065147599</v>
      </c>
      <c r="N46" s="244" t="s">
        <v>5</v>
      </c>
      <c r="O46" s="245">
        <v>92342</v>
      </c>
      <c r="P46" s="6"/>
    </row>
    <row r="47" spans="2:16" ht="30.6">
      <c r="B47" s="233"/>
      <c r="C47" s="273" t="s">
        <v>179</v>
      </c>
      <c r="D47" s="253" t="s">
        <v>16</v>
      </c>
      <c r="E47" s="293">
        <f>E46*1.039</f>
        <v>121.92664999999998</v>
      </c>
      <c r="F47" s="253">
        <v>0</v>
      </c>
      <c r="G47" s="293">
        <f>E47-F47</f>
        <v>121.92664999999998</v>
      </c>
      <c r="H47" s="249">
        <v>121.09</v>
      </c>
      <c r="I47" s="253"/>
      <c r="J47" s="249">
        <f>G47*H47</f>
        <v>14764.098048499998</v>
      </c>
      <c r="K47" s="249">
        <f>BDI_SERVIÇOS_MATERIAIS!$E$11*J47</f>
        <v>4304.152696994578</v>
      </c>
      <c r="L47" s="249"/>
      <c r="M47" s="249"/>
      <c r="N47" s="253" t="s">
        <v>5</v>
      </c>
      <c r="O47" s="254">
        <v>7701</v>
      </c>
      <c r="P47" s="6"/>
    </row>
    <row r="48" spans="2:16" ht="15.6">
      <c r="B48" s="233"/>
      <c r="C48" s="273" t="s">
        <v>157</v>
      </c>
      <c r="D48" s="253" t="s">
        <v>159</v>
      </c>
      <c r="E48" s="293">
        <f>0.245*E46</f>
        <v>28.750749999999996</v>
      </c>
      <c r="F48" s="253">
        <v>0</v>
      </c>
      <c r="G48" s="293">
        <f>E48-F48</f>
        <v>28.750749999999996</v>
      </c>
      <c r="H48" s="249">
        <v>29.06</v>
      </c>
      <c r="I48" s="274">
        <f>G48*H48</f>
        <v>835.49679499999991</v>
      </c>
      <c r="J48" s="249"/>
      <c r="K48" s="249"/>
      <c r="L48" s="249">
        <f>BDI_SERVIÇOS_MATERIAIS!$E$11*I48</f>
        <v>243.57097681933453</v>
      </c>
      <c r="M48" s="249"/>
      <c r="N48" s="253" t="s">
        <v>5</v>
      </c>
      <c r="O48" s="254">
        <v>88267</v>
      </c>
      <c r="P48" s="6"/>
    </row>
    <row r="49" spans="2:16" ht="31.2" thickBot="1">
      <c r="B49" s="289"/>
      <c r="C49" s="280" t="s">
        <v>180</v>
      </c>
      <c r="D49" s="281" t="s">
        <v>159</v>
      </c>
      <c r="E49" s="294">
        <f>0.245*E46</f>
        <v>28.750749999999996</v>
      </c>
      <c r="F49" s="281">
        <v>0</v>
      </c>
      <c r="G49" s="294">
        <f>E49-F49</f>
        <v>28.750749999999996</v>
      </c>
      <c r="H49" s="283">
        <v>24.98</v>
      </c>
      <c r="I49" s="295">
        <f>G49*H49</f>
        <v>718.19373499999995</v>
      </c>
      <c r="J49" s="283"/>
      <c r="K49" s="283"/>
      <c r="L49" s="283">
        <f>BDI_SERVIÇOS_MATERIAIS!$E$11*I49</f>
        <v>209.37381283368813</v>
      </c>
      <c r="M49" s="283"/>
      <c r="N49" s="281" t="s">
        <v>5</v>
      </c>
      <c r="O49" s="284">
        <v>88248</v>
      </c>
      <c r="P49" s="6"/>
    </row>
    <row r="50" spans="2:16" ht="46.8">
      <c r="B50" s="285" t="s">
        <v>58</v>
      </c>
      <c r="C50" s="286" t="s">
        <v>618</v>
      </c>
      <c r="D50" s="244" t="s">
        <v>16</v>
      </c>
      <c r="E50" s="296">
        <v>527.79999999999995</v>
      </c>
      <c r="F50" s="244"/>
      <c r="G50" s="292"/>
      <c r="H50" s="287"/>
      <c r="I50" s="288">
        <f>SUM(I51:I53)</f>
        <v>23958.742079999996</v>
      </c>
      <c r="J50" s="270">
        <f>SUM(J51:J53)</f>
        <v>123068.38216399998</v>
      </c>
      <c r="K50" s="270">
        <f>BDI_SERVIÇOS_MATERIAIS!$E$11*J50</f>
        <v>35877.918669048449</v>
      </c>
      <c r="L50" s="270">
        <f>BDI_SERVIÇOS_MATERIAIS!$E$11*I50</f>
        <v>6984.6518223784387</v>
      </c>
      <c r="M50" s="288">
        <f>I50+J50+K50+L50</f>
        <v>189889.69473542686</v>
      </c>
      <c r="N50" s="244" t="s">
        <v>5</v>
      </c>
      <c r="O50" s="245">
        <v>101918</v>
      </c>
      <c r="P50" s="6"/>
    </row>
    <row r="51" spans="2:16" ht="30.6">
      <c r="B51" s="233"/>
      <c r="C51" s="273" t="s">
        <v>175</v>
      </c>
      <c r="D51" s="253" t="s">
        <v>16</v>
      </c>
      <c r="E51" s="297">
        <f>E50*1.039</f>
        <v>548.38419999999996</v>
      </c>
      <c r="F51" s="253">
        <v>0</v>
      </c>
      <c r="G51" s="293">
        <f t="shared" ref="G51:G59" si="6">E51-F51</f>
        <v>548.38419999999996</v>
      </c>
      <c r="H51" s="249">
        <v>224.42</v>
      </c>
      <c r="I51" s="249">
        <f>SUM(I52:I53)</f>
        <v>11979.371039999998</v>
      </c>
      <c r="J51" s="249">
        <f>H51*G51</f>
        <v>123068.38216399998</v>
      </c>
      <c r="K51" s="249">
        <f>BDI_SERVIÇOS_MATERIAIS!$E$11*J51</f>
        <v>35877.918669048449</v>
      </c>
      <c r="L51" s="249">
        <f>BDI_SERVIÇOS_MATERIAIS!$E$11*I51</f>
        <v>3492.3259111892194</v>
      </c>
      <c r="M51" s="249"/>
      <c r="N51" s="253" t="s">
        <v>5</v>
      </c>
      <c r="O51" s="254">
        <v>7693</v>
      </c>
      <c r="P51" s="6"/>
    </row>
    <row r="52" spans="2:16" ht="15.6">
      <c r="B52" s="233"/>
      <c r="C52" s="273" t="s">
        <v>157</v>
      </c>
      <c r="D52" s="253" t="s">
        <v>159</v>
      </c>
      <c r="E52" s="297">
        <f>0.42*E50</f>
        <v>221.67599999999996</v>
      </c>
      <c r="F52" s="253">
        <v>0</v>
      </c>
      <c r="G52" s="293">
        <f t="shared" si="6"/>
        <v>221.67599999999996</v>
      </c>
      <c r="H52" s="249">
        <v>29.06</v>
      </c>
      <c r="I52" s="274">
        <f>G52*H52</f>
        <v>6441.9045599999981</v>
      </c>
      <c r="J52" s="249"/>
      <c r="K52" s="249"/>
      <c r="L52" s="249">
        <f>BDI_SERVIÇOS_MATERIAIS!$E$11*I52</f>
        <v>1877.9976124936843</v>
      </c>
      <c r="M52" s="249"/>
      <c r="N52" s="253" t="s">
        <v>5</v>
      </c>
      <c r="O52" s="254">
        <v>88267</v>
      </c>
      <c r="P52" s="6"/>
    </row>
    <row r="53" spans="2:16" ht="31.2" thickBot="1">
      <c r="B53" s="233"/>
      <c r="C53" s="280" t="s">
        <v>180</v>
      </c>
      <c r="D53" s="281" t="s">
        <v>159</v>
      </c>
      <c r="E53" s="298">
        <f>0.42*E50</f>
        <v>221.67599999999996</v>
      </c>
      <c r="F53" s="281">
        <v>0</v>
      </c>
      <c r="G53" s="294">
        <f t="shared" si="6"/>
        <v>221.67599999999996</v>
      </c>
      <c r="H53" s="283">
        <v>24.98</v>
      </c>
      <c r="I53" s="295">
        <f>G53*H53</f>
        <v>5537.4664799999991</v>
      </c>
      <c r="J53" s="283"/>
      <c r="K53" s="283"/>
      <c r="L53" s="283">
        <f>BDI_SERVIÇOS_MATERIAIS!$E$11*I53</f>
        <v>1614.3282986955348</v>
      </c>
      <c r="M53" s="283"/>
      <c r="N53" s="281" t="s">
        <v>5</v>
      </c>
      <c r="O53" s="284">
        <v>88248</v>
      </c>
      <c r="P53" s="6"/>
    </row>
    <row r="54" spans="2:16" ht="46.8">
      <c r="B54" s="285" t="s">
        <v>59</v>
      </c>
      <c r="C54" s="286" t="s">
        <v>584</v>
      </c>
      <c r="D54" s="244" t="s">
        <v>8</v>
      </c>
      <c r="E54" s="244">
        <v>14</v>
      </c>
      <c r="F54" s="244"/>
      <c r="G54" s="244"/>
      <c r="H54" s="287"/>
      <c r="I54" s="288">
        <f>SUM(I55:I59)</f>
        <v>718.73199999999997</v>
      </c>
      <c r="J54" s="270">
        <f>SUM(J55:J59)</f>
        <v>1339.92768</v>
      </c>
      <c r="K54" s="270">
        <f>BDI_SERVIÇOS_MATERIAIS!$E$11*J54</f>
        <v>390.62686516333645</v>
      </c>
      <c r="L54" s="270">
        <f>BDI_SERVIÇOS_MATERIAIS!$E$11*I54</f>
        <v>209.53073232472897</v>
      </c>
      <c r="M54" s="288">
        <f>I54+J54+K54+L54</f>
        <v>2658.817277488065</v>
      </c>
      <c r="N54" s="244" t="s">
        <v>5</v>
      </c>
      <c r="O54" s="245">
        <v>92390</v>
      </c>
      <c r="P54" s="6"/>
    </row>
    <row r="55" spans="2:16" ht="15.6">
      <c r="B55" s="233"/>
      <c r="C55" s="273" t="s">
        <v>183</v>
      </c>
      <c r="D55" s="253" t="s">
        <v>8</v>
      </c>
      <c r="E55" s="253">
        <f>0.03*E54</f>
        <v>0.42</v>
      </c>
      <c r="F55" s="253">
        <v>0</v>
      </c>
      <c r="G55" s="253">
        <f t="shared" si="6"/>
        <v>0.42</v>
      </c>
      <c r="H55" s="249">
        <v>7.74</v>
      </c>
      <c r="I55" s="253"/>
      <c r="J55" s="249">
        <f>G55*H55</f>
        <v>3.2507999999999999</v>
      </c>
      <c r="K55" s="249">
        <f>BDI_SERVIÇOS_MATERIAIS!$E$11*J55</f>
        <v>0.94770026190739942</v>
      </c>
      <c r="L55" s="249"/>
      <c r="M55" s="249"/>
      <c r="N55" s="253" t="s">
        <v>5</v>
      </c>
      <c r="O55" s="254">
        <v>3148</v>
      </c>
      <c r="P55" s="6"/>
    </row>
    <row r="56" spans="2:16" ht="15.6">
      <c r="B56" s="233"/>
      <c r="C56" s="273" t="s">
        <v>184</v>
      </c>
      <c r="D56" s="253" t="s">
        <v>185</v>
      </c>
      <c r="E56" s="253">
        <f>0.007*E54</f>
        <v>9.8000000000000004E-2</v>
      </c>
      <c r="F56" s="253">
        <v>0</v>
      </c>
      <c r="G56" s="253">
        <f t="shared" si="6"/>
        <v>9.8000000000000004E-2</v>
      </c>
      <c r="H56" s="249">
        <v>39.56</v>
      </c>
      <c r="I56" s="253"/>
      <c r="J56" s="249">
        <f>G56*H56</f>
        <v>3.8768800000000003</v>
      </c>
      <c r="K56" s="249">
        <f>BDI_SERVIÇOS_MATERIAIS!$E$11*J56</f>
        <v>1.1302203123488246</v>
      </c>
      <c r="L56" s="249"/>
      <c r="M56" s="249"/>
      <c r="N56" s="253" t="s">
        <v>5</v>
      </c>
      <c r="O56" s="254">
        <v>7307</v>
      </c>
      <c r="P56" s="6"/>
    </row>
    <row r="57" spans="2:16" ht="15.6">
      <c r="B57" s="233"/>
      <c r="C57" s="273" t="s">
        <v>173</v>
      </c>
      <c r="D57" s="253" t="s">
        <v>8</v>
      </c>
      <c r="E57" s="253">
        <v>14</v>
      </c>
      <c r="F57" s="253">
        <v>0</v>
      </c>
      <c r="G57" s="253">
        <f t="shared" si="6"/>
        <v>14</v>
      </c>
      <c r="H57" s="249">
        <v>95.2</v>
      </c>
      <c r="I57" s="253"/>
      <c r="J57" s="249">
        <f>G57*H57</f>
        <v>1332.8</v>
      </c>
      <c r="K57" s="249">
        <f>BDI_SERVIÇOS_MATERIAIS!$E$11*J57</f>
        <v>388.54894458908018</v>
      </c>
      <c r="L57" s="249"/>
      <c r="M57" s="249"/>
      <c r="N57" s="253" t="s">
        <v>5</v>
      </c>
      <c r="O57" s="254">
        <v>3470</v>
      </c>
      <c r="P57" s="6"/>
    </row>
    <row r="58" spans="2:16" ht="15.6">
      <c r="B58" s="233"/>
      <c r="C58" s="273" t="s">
        <v>157</v>
      </c>
      <c r="D58" s="253" t="s">
        <v>159</v>
      </c>
      <c r="E58" s="253">
        <f>0.95*E57</f>
        <v>13.299999999999999</v>
      </c>
      <c r="F58" s="253">
        <v>0</v>
      </c>
      <c r="G58" s="253">
        <f t="shared" si="6"/>
        <v>13.299999999999999</v>
      </c>
      <c r="H58" s="249">
        <v>29.06</v>
      </c>
      <c r="I58" s="274">
        <f>H58*G58</f>
        <v>386.49799999999993</v>
      </c>
      <c r="J58" s="249"/>
      <c r="K58" s="249"/>
      <c r="L58" s="249">
        <f>BDI_SERVIÇOS_MATERIAIS!$E$11*I58</f>
        <v>112.67511253435647</v>
      </c>
      <c r="M58" s="249"/>
      <c r="N58" s="253" t="s">
        <v>5</v>
      </c>
      <c r="O58" s="254">
        <v>88267</v>
      </c>
      <c r="P58" s="6"/>
    </row>
    <row r="59" spans="2:16" ht="31.2" thickBot="1">
      <c r="B59" s="233"/>
      <c r="C59" s="280" t="s">
        <v>180</v>
      </c>
      <c r="D59" s="281" t="s">
        <v>159</v>
      </c>
      <c r="E59" s="281">
        <f>0.95*E57</f>
        <v>13.299999999999999</v>
      </c>
      <c r="F59" s="281">
        <v>0</v>
      </c>
      <c r="G59" s="281">
        <f t="shared" si="6"/>
        <v>13.299999999999999</v>
      </c>
      <c r="H59" s="283">
        <v>24.98</v>
      </c>
      <c r="I59" s="295">
        <f>G59*H59</f>
        <v>332.23399999999998</v>
      </c>
      <c r="J59" s="283"/>
      <c r="K59" s="283"/>
      <c r="L59" s="283">
        <f>BDI_SERVIÇOS_MATERIAIS!$E$11*I59</f>
        <v>96.855619790372501</v>
      </c>
      <c r="M59" s="283"/>
      <c r="N59" s="281" t="s">
        <v>5</v>
      </c>
      <c r="O59" s="284">
        <v>88248</v>
      </c>
      <c r="P59" s="6"/>
    </row>
    <row r="60" spans="2:16" ht="15.6">
      <c r="B60" s="285" t="s">
        <v>60</v>
      </c>
      <c r="C60" s="286" t="s">
        <v>181</v>
      </c>
      <c r="D60" s="244" t="s">
        <v>8</v>
      </c>
      <c r="E60" s="244">
        <v>36</v>
      </c>
      <c r="F60" s="244"/>
      <c r="G60" s="244"/>
      <c r="H60" s="287"/>
      <c r="I60" s="288">
        <f>SUM(I61:I63)</f>
        <v>1770.8759999999997</v>
      </c>
      <c r="J60" s="299">
        <f>SUM(J61:J63)</f>
        <v>9192.9600000000009</v>
      </c>
      <c r="K60" s="270">
        <f>BDI_SERVIÇOS_MATERIAIS!$E$11*J60</f>
        <v>2680.0081825102275</v>
      </c>
      <c r="L60" s="270">
        <f>BDI_SERVIÇOS_MATERIAIS!$E$11*I60</f>
        <v>516.26050480051913</v>
      </c>
      <c r="M60" s="288">
        <f>SUM(I60:L60)</f>
        <v>14160.104687310748</v>
      </c>
      <c r="N60" s="244"/>
      <c r="O60" s="245">
        <v>72306</v>
      </c>
      <c r="P60" s="6"/>
    </row>
    <row r="61" spans="2:16" ht="15.6">
      <c r="B61" s="233"/>
      <c r="C61" s="273" t="s">
        <v>176</v>
      </c>
      <c r="D61" s="253" t="s">
        <v>8</v>
      </c>
      <c r="E61" s="253">
        <v>36</v>
      </c>
      <c r="F61" s="253">
        <v>0</v>
      </c>
      <c r="G61" s="253">
        <f>E61-F61</f>
        <v>36</v>
      </c>
      <c r="H61" s="249">
        <v>255.36</v>
      </c>
      <c r="I61" s="253"/>
      <c r="J61" s="249">
        <f>G61*H61</f>
        <v>9192.9600000000009</v>
      </c>
      <c r="K61" s="249">
        <f>BDI_SERVIÇOS_MATERIAIS!$E$11*J61</f>
        <v>2680.0081825102275</v>
      </c>
      <c r="L61" s="249"/>
      <c r="M61" s="300"/>
      <c r="N61" s="253" t="s">
        <v>5</v>
      </c>
      <c r="O61" s="254">
        <v>3469</v>
      </c>
      <c r="P61" s="6"/>
    </row>
    <row r="62" spans="2:16" ht="15.6">
      <c r="B62" s="233"/>
      <c r="C62" s="273" t="s">
        <v>157</v>
      </c>
      <c r="D62" s="253" t="s">
        <v>159</v>
      </c>
      <c r="E62" s="253">
        <f>0.95*E61</f>
        <v>34.199999999999996</v>
      </c>
      <c r="F62" s="253">
        <v>0</v>
      </c>
      <c r="G62" s="253">
        <f>E62-F62</f>
        <v>34.199999999999996</v>
      </c>
      <c r="H62" s="249">
        <v>29.06</v>
      </c>
      <c r="I62" s="274">
        <f>H62*G62</f>
        <v>993.85199999999986</v>
      </c>
      <c r="J62" s="249"/>
      <c r="K62" s="249"/>
      <c r="L62" s="249">
        <f>BDI_SERVIÇOS_MATERIAIS!$E$11*I62</f>
        <v>289.73600365977376</v>
      </c>
      <c r="M62" s="249"/>
      <c r="N62" s="253" t="s">
        <v>5</v>
      </c>
      <c r="O62" s="254">
        <v>88267</v>
      </c>
      <c r="P62" s="6"/>
    </row>
    <row r="63" spans="2:16" ht="16.2" thickBot="1">
      <c r="B63" s="233"/>
      <c r="C63" s="280" t="s">
        <v>158</v>
      </c>
      <c r="D63" s="281" t="s">
        <v>159</v>
      </c>
      <c r="E63" s="281">
        <f>0.95*E61</f>
        <v>34.199999999999996</v>
      </c>
      <c r="F63" s="281">
        <v>0</v>
      </c>
      <c r="G63" s="281">
        <f>E63-F63</f>
        <v>34.199999999999996</v>
      </c>
      <c r="H63" s="283">
        <v>22.72</v>
      </c>
      <c r="I63" s="295">
        <f>G63*H63</f>
        <v>777.02399999999989</v>
      </c>
      <c r="J63" s="283"/>
      <c r="K63" s="283"/>
      <c r="L63" s="283">
        <f>BDI_SERVIÇOS_MATERIAIS!$E$11*I63</f>
        <v>226.52450114074537</v>
      </c>
      <c r="M63" s="283"/>
      <c r="N63" s="281" t="s">
        <v>5</v>
      </c>
      <c r="O63" s="284">
        <v>88316</v>
      </c>
      <c r="P63" s="6"/>
    </row>
    <row r="64" spans="2:16" ht="15.6">
      <c r="B64" s="285" t="s">
        <v>61</v>
      </c>
      <c r="C64" s="286" t="s">
        <v>182</v>
      </c>
      <c r="D64" s="244"/>
      <c r="E64" s="244">
        <v>13</v>
      </c>
      <c r="F64" s="244"/>
      <c r="G64" s="244"/>
      <c r="H64" s="287"/>
      <c r="I64" s="301">
        <f>SUM(I65:I68)</f>
        <v>673.14</v>
      </c>
      <c r="J64" s="270">
        <f>SUM(J65:J68)</f>
        <v>2469.3292000000001</v>
      </c>
      <c r="K64" s="270">
        <f>BDI_SERVIÇOS_MATERIAIS!$E$11*J64</f>
        <v>719.87939263430212</v>
      </c>
      <c r="L64" s="270">
        <f>BDI_SERVIÇOS_MATERIAIS!$E$11*I64</f>
        <v>196.239373169788</v>
      </c>
      <c r="M64" s="288">
        <f>I64+J64+K64+L64</f>
        <v>4058.5879658040899</v>
      </c>
      <c r="N64" s="244" t="s">
        <v>5</v>
      </c>
      <c r="O64" s="245">
        <v>72667</v>
      </c>
      <c r="P64" s="6"/>
    </row>
    <row r="65" spans="2:16" ht="15.6">
      <c r="B65" s="233"/>
      <c r="C65" s="273" t="s">
        <v>183</v>
      </c>
      <c r="D65" s="253" t="s">
        <v>8</v>
      </c>
      <c r="E65" s="253">
        <f>0.16*E64</f>
        <v>2.08</v>
      </c>
      <c r="F65" s="253">
        <v>0</v>
      </c>
      <c r="G65" s="253">
        <f t="shared" ref="G65:G68" si="7">E65-F65</f>
        <v>2.08</v>
      </c>
      <c r="H65" s="249">
        <v>7.74</v>
      </c>
      <c r="I65" s="274"/>
      <c r="J65" s="249">
        <f>G65*H65</f>
        <v>16.0992</v>
      </c>
      <c r="K65" s="249">
        <f>BDI_SERVIÇOS_MATERIAIS!$E$11*J65</f>
        <v>4.6933727256366451</v>
      </c>
      <c r="L65" s="249">
        <f>BDI_SERVIÇOS_MATERIAIS!$E$11*I65</f>
        <v>0</v>
      </c>
      <c r="M65" s="249"/>
      <c r="N65" s="253" t="s">
        <v>5</v>
      </c>
      <c r="O65" s="254">
        <v>3148</v>
      </c>
      <c r="P65" s="6"/>
    </row>
    <row r="66" spans="2:16" ht="15.6">
      <c r="B66" s="233"/>
      <c r="C66" s="273" t="s">
        <v>172</v>
      </c>
      <c r="D66" s="253" t="s">
        <v>8</v>
      </c>
      <c r="E66" s="253">
        <f>E64</f>
        <v>13</v>
      </c>
      <c r="F66" s="253">
        <v>0</v>
      </c>
      <c r="G66" s="253">
        <f t="shared" si="7"/>
        <v>13</v>
      </c>
      <c r="H66" s="249">
        <v>188.71</v>
      </c>
      <c r="I66" s="274"/>
      <c r="J66" s="249">
        <f>G66*H66</f>
        <v>2453.23</v>
      </c>
      <c r="K66" s="249">
        <f>BDI_SERVIÇOS_MATERIAIS!$E$11*J66</f>
        <v>715.18601990866546</v>
      </c>
      <c r="L66" s="249">
        <f>BDI_SERVIÇOS_MATERIAIS!$E$11*I66</f>
        <v>0</v>
      </c>
      <c r="M66" s="249"/>
      <c r="N66" s="253" t="s">
        <v>5</v>
      </c>
      <c r="O66" s="254">
        <v>3932</v>
      </c>
      <c r="P66" s="6"/>
    </row>
    <row r="67" spans="2:16" ht="15.6">
      <c r="B67" s="233"/>
      <c r="C67" s="273" t="s">
        <v>157</v>
      </c>
      <c r="D67" s="253" t="s">
        <v>159</v>
      </c>
      <c r="E67" s="253">
        <f>E64</f>
        <v>13</v>
      </c>
      <c r="F67" s="253">
        <v>0</v>
      </c>
      <c r="G67" s="253">
        <f t="shared" si="7"/>
        <v>13</v>
      </c>
      <c r="H67" s="249">
        <v>29.06</v>
      </c>
      <c r="I67" s="274">
        <f>G67*H67</f>
        <v>377.78</v>
      </c>
      <c r="J67" s="249"/>
      <c r="K67" s="249"/>
      <c r="L67" s="249">
        <f>BDI_SERVIÇOS_MATERIAIS!$E$11*I67</f>
        <v>110.13356864260408</v>
      </c>
      <c r="M67" s="249"/>
      <c r="N67" s="253" t="s">
        <v>5</v>
      </c>
      <c r="O67" s="254">
        <v>88267</v>
      </c>
      <c r="P67" s="6"/>
    </row>
    <row r="68" spans="2:16" ht="16.2" thickBot="1">
      <c r="B68" s="233"/>
      <c r="C68" s="280" t="s">
        <v>158</v>
      </c>
      <c r="D68" s="281" t="s">
        <v>159</v>
      </c>
      <c r="E68" s="281">
        <f>E64</f>
        <v>13</v>
      </c>
      <c r="F68" s="281">
        <v>0</v>
      </c>
      <c r="G68" s="281">
        <f t="shared" si="7"/>
        <v>13</v>
      </c>
      <c r="H68" s="283">
        <v>22.72</v>
      </c>
      <c r="I68" s="295">
        <f>G68*H68</f>
        <v>295.36</v>
      </c>
      <c r="J68" s="283"/>
      <c r="K68" s="283"/>
      <c r="L68" s="283">
        <f>BDI_SERVIÇOS_MATERIAIS!$E$11*I68</f>
        <v>86.105804527183921</v>
      </c>
      <c r="M68" s="283"/>
      <c r="N68" s="281" t="s">
        <v>5</v>
      </c>
      <c r="O68" s="284">
        <v>88316</v>
      </c>
      <c r="P68" s="6"/>
    </row>
    <row r="69" spans="2:16" ht="46.8">
      <c r="B69" s="285" t="s">
        <v>62</v>
      </c>
      <c r="C69" s="286" t="s">
        <v>585</v>
      </c>
      <c r="D69" s="244" t="s">
        <v>8</v>
      </c>
      <c r="E69" s="244">
        <v>3</v>
      </c>
      <c r="F69" s="244"/>
      <c r="G69" s="244"/>
      <c r="H69" s="287"/>
      <c r="I69" s="288">
        <f>SUM(I70:I74)</f>
        <v>238.47852</v>
      </c>
      <c r="J69" s="270">
        <f>SUM(J70:J74)</f>
        <v>398.53037999999998</v>
      </c>
      <c r="K69" s="270">
        <f>BDI_SERVIÇOS_MATERIAIS!$E$11*J69</f>
        <v>116.18289205858724</v>
      </c>
      <c r="L69" s="270">
        <f>BDI_SERVIÇOS_MATERIAIS!$E$11*I69</f>
        <v>69.523242236769107</v>
      </c>
      <c r="M69" s="288">
        <f>I69+J69+K69+L69</f>
        <v>822.7150342953563</v>
      </c>
      <c r="N69" s="244" t="s">
        <v>5</v>
      </c>
      <c r="O69" s="245">
        <v>92642</v>
      </c>
      <c r="P69" s="6"/>
    </row>
    <row r="70" spans="2:16" ht="15.6">
      <c r="B70" s="233"/>
      <c r="C70" s="273" t="s">
        <v>183</v>
      </c>
      <c r="D70" s="253" t="s">
        <v>8</v>
      </c>
      <c r="E70" s="253">
        <f>E69*0.045</f>
        <v>0.13500000000000001</v>
      </c>
      <c r="F70" s="253">
        <v>0</v>
      </c>
      <c r="G70" s="253">
        <f t="shared" ref="G70:G74" si="8">E70-F70</f>
        <v>0.13500000000000001</v>
      </c>
      <c r="H70" s="249">
        <v>7.74</v>
      </c>
      <c r="I70" s="274"/>
      <c r="J70" s="249">
        <f>G70*H70</f>
        <v>1.0449000000000002</v>
      </c>
      <c r="K70" s="249">
        <f>BDI_SERVIÇOS_MATERIAIS!$E$11*J70</f>
        <v>0.30461794132737846</v>
      </c>
      <c r="L70" s="249">
        <f>BDI_SERVIÇOS_MATERIAIS!$E$11*I70</f>
        <v>0</v>
      </c>
      <c r="M70" s="249"/>
      <c r="N70" s="253" t="s">
        <v>5</v>
      </c>
      <c r="O70" s="254">
        <v>3148</v>
      </c>
      <c r="P70" s="6"/>
    </row>
    <row r="71" spans="2:16" ht="15.6">
      <c r="B71" s="233"/>
      <c r="C71" s="273" t="s">
        <v>177</v>
      </c>
      <c r="D71" s="253" t="s">
        <v>8</v>
      </c>
      <c r="E71" s="253">
        <f>E69</f>
        <v>3</v>
      </c>
      <c r="F71" s="253">
        <v>0</v>
      </c>
      <c r="G71" s="253">
        <f t="shared" si="8"/>
        <v>3</v>
      </c>
      <c r="H71" s="249">
        <v>132.06</v>
      </c>
      <c r="I71" s="274"/>
      <c r="J71" s="249">
        <f>G71*H71</f>
        <v>396.18</v>
      </c>
      <c r="K71" s="249">
        <f>BDI_SERVIÇOS_MATERIAIS!$E$11*J71</f>
        <v>115.4976897263669</v>
      </c>
      <c r="L71" s="302">
        <f>BDI_SERVIÇOS_MATERIAIS!$E$11*I71</f>
        <v>0</v>
      </c>
      <c r="M71" s="249"/>
      <c r="N71" s="253" t="s">
        <v>5</v>
      </c>
      <c r="O71" s="254">
        <v>6299</v>
      </c>
      <c r="P71" s="6"/>
    </row>
    <row r="72" spans="2:16" ht="15.6">
      <c r="B72" s="233"/>
      <c r="C72" s="273" t="s">
        <v>184</v>
      </c>
      <c r="D72" s="253" t="s">
        <v>185</v>
      </c>
      <c r="E72" s="253">
        <f>0.011*E69</f>
        <v>3.3000000000000002E-2</v>
      </c>
      <c r="F72" s="253">
        <v>0</v>
      </c>
      <c r="G72" s="253">
        <f t="shared" si="8"/>
        <v>3.3000000000000002E-2</v>
      </c>
      <c r="H72" s="249">
        <v>39.56</v>
      </c>
      <c r="I72" s="274"/>
      <c r="J72" s="249">
        <f>G72*H72</f>
        <v>1.3054800000000002</v>
      </c>
      <c r="K72" s="249">
        <f>BDI_SERVIÇOS_MATERIAIS!$E$11*J72</f>
        <v>0.38058439089297158</v>
      </c>
      <c r="L72" s="249">
        <f>BDI_SERVIÇOS_MATERIAIS!$E$11*I72</f>
        <v>0</v>
      </c>
      <c r="M72" s="249"/>
      <c r="N72" s="253" t="s">
        <v>5</v>
      </c>
      <c r="O72" s="254">
        <v>7307</v>
      </c>
      <c r="P72" s="6"/>
    </row>
    <row r="73" spans="2:16" ht="15.6">
      <c r="B73" s="233"/>
      <c r="C73" s="273" t="s">
        <v>157</v>
      </c>
      <c r="D73" s="253" t="s">
        <v>159</v>
      </c>
      <c r="E73" s="253">
        <f>1.471*E69</f>
        <v>4.4130000000000003</v>
      </c>
      <c r="F73" s="253">
        <v>0</v>
      </c>
      <c r="G73" s="253">
        <f t="shared" si="8"/>
        <v>4.4130000000000003</v>
      </c>
      <c r="H73" s="249">
        <v>29.06</v>
      </c>
      <c r="I73" s="274">
        <f>G73*H73</f>
        <v>128.24178000000001</v>
      </c>
      <c r="J73" s="249"/>
      <c r="K73" s="249"/>
      <c r="L73" s="249">
        <f>BDI_SERVIÇOS_MATERIAIS!$E$11*I73</f>
        <v>37.386110647677832</v>
      </c>
      <c r="M73" s="249"/>
      <c r="N73" s="253" t="s">
        <v>5</v>
      </c>
      <c r="O73" s="254">
        <v>88267</v>
      </c>
      <c r="P73" s="6"/>
    </row>
    <row r="74" spans="2:16" ht="31.2" thickBot="1">
      <c r="B74" s="233"/>
      <c r="C74" s="280" t="s">
        <v>180</v>
      </c>
      <c r="D74" s="281" t="s">
        <v>159</v>
      </c>
      <c r="E74" s="281">
        <f>1.471*E69</f>
        <v>4.4130000000000003</v>
      </c>
      <c r="F74" s="281">
        <v>0</v>
      </c>
      <c r="G74" s="281">
        <f t="shared" si="8"/>
        <v>4.4130000000000003</v>
      </c>
      <c r="H74" s="283">
        <v>24.98</v>
      </c>
      <c r="I74" s="295">
        <f>G74*H74</f>
        <v>110.23674000000001</v>
      </c>
      <c r="J74" s="283"/>
      <c r="K74" s="283"/>
      <c r="L74" s="283">
        <f>BDI_SERVIÇOS_MATERIAIS!$E$11*I74</f>
        <v>32.137131589091268</v>
      </c>
      <c r="M74" s="283"/>
      <c r="N74" s="281" t="s">
        <v>5</v>
      </c>
      <c r="O74" s="284">
        <v>88248</v>
      </c>
      <c r="P74" s="6"/>
    </row>
    <row r="75" spans="2:16" ht="15.6">
      <c r="B75" s="285" t="s">
        <v>72</v>
      </c>
      <c r="C75" s="286" t="s">
        <v>186</v>
      </c>
      <c r="D75" s="244" t="s">
        <v>8</v>
      </c>
      <c r="E75" s="244">
        <v>14</v>
      </c>
      <c r="F75" s="244"/>
      <c r="G75" s="244"/>
      <c r="H75" s="244"/>
      <c r="I75" s="288">
        <f>SUM(I76:I78)</f>
        <v>797.41200000000003</v>
      </c>
      <c r="J75" s="270">
        <f>SUM(J76:J78)</f>
        <v>4565.2599999999993</v>
      </c>
      <c r="K75" s="270">
        <f>BDI_SERVIÇOS_MATERIAIS!$E$11*J75</f>
        <v>1330.9025771119027</v>
      </c>
      <c r="L75" s="270">
        <f>BDI_SERVIÇOS_MATERIAIS!$E$11*I75</f>
        <v>232.46818052421042</v>
      </c>
      <c r="M75" s="288">
        <f>I75+J75+K75+L75</f>
        <v>6926.0427576361126</v>
      </c>
      <c r="N75" s="244" t="s">
        <v>5</v>
      </c>
      <c r="O75" s="245">
        <v>72719</v>
      </c>
      <c r="P75" s="6"/>
    </row>
    <row r="76" spans="2:16" ht="15.6">
      <c r="B76" s="233"/>
      <c r="C76" s="273" t="s">
        <v>178</v>
      </c>
      <c r="D76" s="253" t="s">
        <v>8</v>
      </c>
      <c r="E76" s="253">
        <f>1*E75</f>
        <v>14</v>
      </c>
      <c r="F76" s="253">
        <v>0</v>
      </c>
      <c r="G76" s="253">
        <f>E76-F76</f>
        <v>14</v>
      </c>
      <c r="H76" s="249">
        <v>326.08999999999997</v>
      </c>
      <c r="I76" s="253"/>
      <c r="J76" s="249">
        <f>G76*H76</f>
        <v>4565.2599999999993</v>
      </c>
      <c r="K76" s="249">
        <f>BDI_SERVIÇOS_MATERIAIS!$E$11*J76</f>
        <v>1330.9025771119027</v>
      </c>
      <c r="L76" s="249"/>
      <c r="M76" s="249"/>
      <c r="N76" s="253" t="s">
        <v>5</v>
      </c>
      <c r="O76" s="254">
        <v>6300</v>
      </c>
      <c r="P76" s="6"/>
    </row>
    <row r="77" spans="2:16" ht="15.6">
      <c r="B77" s="233"/>
      <c r="C77" s="273" t="s">
        <v>157</v>
      </c>
      <c r="D77" s="253" t="s">
        <v>159</v>
      </c>
      <c r="E77" s="253">
        <f>1.1*E75</f>
        <v>15.400000000000002</v>
      </c>
      <c r="F77" s="253">
        <v>0</v>
      </c>
      <c r="G77" s="253">
        <f>E77-F77</f>
        <v>15.400000000000002</v>
      </c>
      <c r="H77" s="249">
        <v>29.06</v>
      </c>
      <c r="I77" s="274">
        <f>G77*H77</f>
        <v>447.52400000000006</v>
      </c>
      <c r="J77" s="249"/>
      <c r="K77" s="249"/>
      <c r="L77" s="249">
        <f>BDI_SERVIÇOS_MATERIAIS!$E$11*I77</f>
        <v>130.46591977662331</v>
      </c>
      <c r="M77" s="249"/>
      <c r="N77" s="253" t="s">
        <v>5</v>
      </c>
      <c r="O77" s="254">
        <v>88267</v>
      </c>
      <c r="P77" s="6"/>
    </row>
    <row r="78" spans="2:16" ht="16.2" thickBot="1">
      <c r="B78" s="289"/>
      <c r="C78" s="280" t="s">
        <v>158</v>
      </c>
      <c r="D78" s="281" t="s">
        <v>159</v>
      </c>
      <c r="E78" s="281">
        <f>1.1*E75</f>
        <v>15.400000000000002</v>
      </c>
      <c r="F78" s="281">
        <v>0</v>
      </c>
      <c r="G78" s="281">
        <f>E78-F78</f>
        <v>15.400000000000002</v>
      </c>
      <c r="H78" s="283">
        <v>22.72</v>
      </c>
      <c r="I78" s="295">
        <f>G78*H78</f>
        <v>349.88800000000003</v>
      </c>
      <c r="J78" s="283"/>
      <c r="K78" s="283"/>
      <c r="L78" s="283">
        <f>BDI_SERVIÇOS_MATERIAIS!$E$11*I78</f>
        <v>102.00226074758712</v>
      </c>
      <c r="M78" s="283"/>
      <c r="N78" s="281" t="s">
        <v>5</v>
      </c>
      <c r="O78" s="284">
        <v>88316</v>
      </c>
      <c r="P78" s="6"/>
    </row>
    <row r="79" spans="2:16" ht="21.6" thickBot="1">
      <c r="B79" s="680" t="s">
        <v>460</v>
      </c>
      <c r="C79" s="681"/>
      <c r="D79" s="681"/>
      <c r="E79" s="681"/>
      <c r="F79" s="681"/>
      <c r="G79" s="681"/>
      <c r="H79" s="681"/>
      <c r="I79" s="303">
        <f>I16+I27+I37+I46+I50+I54+I60+I64+I69+I75</f>
        <v>32101.477309999995</v>
      </c>
      <c r="J79" s="304">
        <f>J16+J27+J37+J46+J50+J54+J60+J64+J69+J75</f>
        <v>205924.03747249997</v>
      </c>
      <c r="K79" s="305">
        <f>K16+K27+K37+K46+K50+K54+K60+K64+K69+K75</f>
        <v>60032.688644554371</v>
      </c>
      <c r="L79" s="306">
        <f>L16+L27+L37+L46+L50+L54+L60+L64+L69+L75</f>
        <v>9358.4897423100283</v>
      </c>
      <c r="M79" s="307">
        <f>SUM(M16:M78)</f>
        <v>307416.69316936436</v>
      </c>
      <c r="N79" s="307"/>
      <c r="O79" s="308"/>
      <c r="P79" s="7"/>
    </row>
    <row r="80" spans="2:16" ht="16.2" thickBot="1">
      <c r="B80" s="263">
        <v>2</v>
      </c>
      <c r="C80" s="309" t="s">
        <v>377</v>
      </c>
      <c r="D80" s="310"/>
      <c r="E80" s="265"/>
      <c r="F80" s="265"/>
      <c r="G80" s="265"/>
      <c r="H80" s="265"/>
      <c r="I80" s="265"/>
      <c r="J80" s="265"/>
      <c r="K80" s="265"/>
      <c r="L80" s="265"/>
      <c r="M80" s="265"/>
      <c r="N80" s="266"/>
      <c r="O80" s="266"/>
      <c r="P80" s="5"/>
    </row>
    <row r="81" spans="2:16" ht="15.6">
      <c r="B81" s="227" t="s">
        <v>63</v>
      </c>
      <c r="C81" s="286" t="s">
        <v>21</v>
      </c>
      <c r="D81" s="269" t="s">
        <v>7</v>
      </c>
      <c r="E81" s="311">
        <v>1335</v>
      </c>
      <c r="F81" s="312"/>
      <c r="G81" s="312"/>
      <c r="H81" s="312"/>
      <c r="I81" s="313">
        <f>SUM(I82:I85)</f>
        <v>5050.0380000000005</v>
      </c>
      <c r="J81" s="314">
        <f>SUM(J82:J85)</f>
        <v>66811.997399999993</v>
      </c>
      <c r="K81" s="315">
        <f>J81*BDI_SERVIÇOS_MATERIAIS!$E$11</f>
        <v>19477.589342480769</v>
      </c>
      <c r="L81" s="316">
        <f>BDI_SERVIÇOS_MATERIAIS!$E$11*I81</f>
        <v>1472.2290929132275</v>
      </c>
      <c r="M81" s="317">
        <f>SUM(I81:L81)</f>
        <v>92811.853835393995</v>
      </c>
      <c r="N81" s="269" t="s">
        <v>5</v>
      </c>
      <c r="O81" s="272">
        <v>95696</v>
      </c>
      <c r="P81" s="5"/>
    </row>
    <row r="82" spans="2:16" ht="15.6">
      <c r="B82" s="228"/>
      <c r="C82" s="273" t="s">
        <v>553</v>
      </c>
      <c r="D82" s="253" t="s">
        <v>7</v>
      </c>
      <c r="E82" s="253">
        <v>1335</v>
      </c>
      <c r="F82" s="253">
        <v>0</v>
      </c>
      <c r="G82" s="253">
        <f>E82-F82</f>
        <v>1335</v>
      </c>
      <c r="H82" s="276">
        <v>50</v>
      </c>
      <c r="I82" s="277"/>
      <c r="J82" s="249">
        <f>G82*H82</f>
        <v>66750</v>
      </c>
      <c r="K82" s="318">
        <f>J82*BDI_SERVIÇOS_MATERIAIS!$E$11</f>
        <v>19459.515344628679</v>
      </c>
      <c r="L82" s="276"/>
      <c r="M82" s="319"/>
      <c r="N82" s="253" t="s">
        <v>3</v>
      </c>
      <c r="O82" s="623">
        <v>44805</v>
      </c>
      <c r="P82" s="6"/>
    </row>
    <row r="83" spans="2:16" ht="15.6">
      <c r="B83" s="228"/>
      <c r="C83" s="273" t="s">
        <v>183</v>
      </c>
      <c r="D83" s="253" t="s">
        <v>7</v>
      </c>
      <c r="E83" s="300">
        <f>0.006*E82</f>
        <v>8.01</v>
      </c>
      <c r="F83" s="300">
        <v>0</v>
      </c>
      <c r="G83" s="253">
        <f>E83-F83</f>
        <v>8.01</v>
      </c>
      <c r="H83" s="249">
        <v>7.74</v>
      </c>
      <c r="I83" s="277"/>
      <c r="J83" s="249">
        <f>G83*H83</f>
        <v>61.997399999999999</v>
      </c>
      <c r="K83" s="318">
        <f>J83*BDI_SERVIÇOS_MATERIAIS!$E$11</f>
        <v>18.073997852091118</v>
      </c>
      <c r="L83" s="276"/>
      <c r="M83" s="319"/>
      <c r="N83" s="253" t="s">
        <v>5</v>
      </c>
      <c r="O83" s="254">
        <v>3148</v>
      </c>
      <c r="P83" s="6"/>
    </row>
    <row r="84" spans="2:16" ht="30">
      <c r="B84" s="228"/>
      <c r="C84" s="275" t="s">
        <v>180</v>
      </c>
      <c r="D84" s="253" t="s">
        <v>159</v>
      </c>
      <c r="E84" s="253">
        <f>0.07*E82</f>
        <v>93.45</v>
      </c>
      <c r="F84" s="253">
        <v>0</v>
      </c>
      <c r="G84" s="253">
        <f t="shared" ref="G84:G85" si="9">E84-F84</f>
        <v>93.45</v>
      </c>
      <c r="H84" s="276">
        <v>24.98</v>
      </c>
      <c r="I84" s="276">
        <f>G84*H84</f>
        <v>2334.3810000000003</v>
      </c>
      <c r="J84" s="249"/>
      <c r="K84" s="318"/>
      <c r="L84" s="276">
        <f>BDI_SERVIÇOS_MATERIAIS!$E$11*I84</f>
        <v>680.53817063235431</v>
      </c>
      <c r="M84" s="319"/>
      <c r="N84" s="253" t="s">
        <v>5</v>
      </c>
      <c r="O84" s="254">
        <v>88248</v>
      </c>
      <c r="P84" s="6"/>
    </row>
    <row r="85" spans="2:16" ht="15.6" thickBot="1">
      <c r="B85" s="228"/>
      <c r="C85" s="320" t="s">
        <v>157</v>
      </c>
      <c r="D85" s="281" t="s">
        <v>159</v>
      </c>
      <c r="E85" s="281">
        <f>0.07*E82</f>
        <v>93.45</v>
      </c>
      <c r="F85" s="281">
        <v>0</v>
      </c>
      <c r="G85" s="281">
        <f t="shared" si="9"/>
        <v>93.45</v>
      </c>
      <c r="H85" s="291">
        <v>29.06</v>
      </c>
      <c r="I85" s="291">
        <f>G85*H85</f>
        <v>2715.6570000000002</v>
      </c>
      <c r="J85" s="283"/>
      <c r="K85" s="321"/>
      <c r="L85" s="321">
        <f>BDI_SERVIÇOS_MATERIAIS!$E$11*I85</f>
        <v>791.69092228087322</v>
      </c>
      <c r="M85" s="322"/>
      <c r="N85" s="281" t="s">
        <v>5</v>
      </c>
      <c r="O85" s="284">
        <v>88267</v>
      </c>
      <c r="P85" s="6"/>
    </row>
    <row r="86" spans="2:16" ht="15.6">
      <c r="B86" s="227" t="s">
        <v>64</v>
      </c>
      <c r="C86" s="286" t="s">
        <v>17</v>
      </c>
      <c r="D86" s="244" t="s">
        <v>7</v>
      </c>
      <c r="E86" s="244">
        <v>2538</v>
      </c>
      <c r="F86" s="244"/>
      <c r="G86" s="244"/>
      <c r="H86" s="323"/>
      <c r="I86" s="241">
        <f>SUM(I87:I90)</f>
        <v>9600.7464</v>
      </c>
      <c r="J86" s="288">
        <f>SUM(J87:J90)</f>
        <v>125368.16472</v>
      </c>
      <c r="K86" s="324">
        <f>J86*BDI_SERVIÇOS_MATERIAIS!$E$11</f>
        <v>36548.370413434845</v>
      </c>
      <c r="L86" s="325">
        <f>BDI_SERVIÇOS_MATERIAIS!$E$11*I86</f>
        <v>2798.8894665271696</v>
      </c>
      <c r="M86" s="326">
        <f>SUM(I86:L86)</f>
        <v>174316.17099996202</v>
      </c>
      <c r="N86" s="244" t="s">
        <v>5</v>
      </c>
      <c r="O86" s="245">
        <v>95696</v>
      </c>
      <c r="P86" s="6"/>
    </row>
    <row r="87" spans="2:16" ht="15.6">
      <c r="B87" s="228"/>
      <c r="C87" s="273" t="s">
        <v>17</v>
      </c>
      <c r="D87" s="253" t="s">
        <v>7</v>
      </c>
      <c r="E87" s="253">
        <f>1*E86</f>
        <v>2538</v>
      </c>
      <c r="F87" s="253">
        <v>0</v>
      </c>
      <c r="G87" s="253">
        <f>E87-F87</f>
        <v>2538</v>
      </c>
      <c r="H87" s="276">
        <v>49.35</v>
      </c>
      <c r="I87" s="277"/>
      <c r="J87" s="249">
        <f>G87*H87</f>
        <v>125250.3</v>
      </c>
      <c r="K87" s="318">
        <f>J87*BDI_SERVIÇOS_MATERIAIS!$E$11</f>
        <v>36514.009509653115</v>
      </c>
      <c r="L87" s="276"/>
      <c r="M87" s="319"/>
      <c r="N87" s="253" t="s">
        <v>3</v>
      </c>
      <c r="O87" s="623">
        <v>44805</v>
      </c>
      <c r="P87" s="6"/>
    </row>
    <row r="88" spans="2:16" ht="15.6">
      <c r="B88" s="228"/>
      <c r="C88" s="273" t="s">
        <v>183</v>
      </c>
      <c r="D88" s="253" t="s">
        <v>7</v>
      </c>
      <c r="E88" s="253">
        <f>0.006*E86</f>
        <v>15.228</v>
      </c>
      <c r="F88" s="253">
        <v>0</v>
      </c>
      <c r="G88" s="253">
        <f>E88-F88</f>
        <v>15.228</v>
      </c>
      <c r="H88" s="249">
        <v>7.74</v>
      </c>
      <c r="I88" s="277"/>
      <c r="J88" s="249">
        <f>G88*H88</f>
        <v>117.86472000000001</v>
      </c>
      <c r="K88" s="318">
        <f>J88*BDI_SERVIÇOS_MATERIAIS!$E$11</f>
        <v>34.360903781728283</v>
      </c>
      <c r="L88" s="276"/>
      <c r="M88" s="319"/>
      <c r="N88" s="253" t="s">
        <v>5</v>
      </c>
      <c r="O88" s="254">
        <v>3148</v>
      </c>
      <c r="P88" s="6"/>
    </row>
    <row r="89" spans="2:16" ht="30">
      <c r="B89" s="228"/>
      <c r="C89" s="275" t="s">
        <v>180</v>
      </c>
      <c r="D89" s="253" t="s">
        <v>159</v>
      </c>
      <c r="E89" s="253">
        <f>0.07*E86</f>
        <v>177.66000000000003</v>
      </c>
      <c r="F89" s="253">
        <v>0</v>
      </c>
      <c r="G89" s="253">
        <f>E89-F89</f>
        <v>177.66000000000003</v>
      </c>
      <c r="H89" s="276">
        <v>24.98</v>
      </c>
      <c r="I89" s="276">
        <f>G89*H89</f>
        <v>4437.9468000000006</v>
      </c>
      <c r="J89" s="249"/>
      <c r="K89" s="318"/>
      <c r="L89" s="276">
        <f>BDI_SERVIÇOS_MATERIAIS!$E$11*I89</f>
        <v>1293.787173831397</v>
      </c>
      <c r="M89" s="319"/>
      <c r="N89" s="253" t="s">
        <v>5</v>
      </c>
      <c r="O89" s="254">
        <v>88248</v>
      </c>
      <c r="P89" s="6"/>
    </row>
    <row r="90" spans="2:16" ht="15.6" thickBot="1">
      <c r="B90" s="229"/>
      <c r="C90" s="320" t="s">
        <v>157</v>
      </c>
      <c r="D90" s="281" t="s">
        <v>159</v>
      </c>
      <c r="E90" s="281">
        <f>0.07*E86</f>
        <v>177.66000000000003</v>
      </c>
      <c r="F90" s="281">
        <v>0</v>
      </c>
      <c r="G90" s="281">
        <f>E90-F90</f>
        <v>177.66000000000003</v>
      </c>
      <c r="H90" s="291">
        <v>29.06</v>
      </c>
      <c r="I90" s="291">
        <f>G90*H90</f>
        <v>5162.7996000000003</v>
      </c>
      <c r="J90" s="283"/>
      <c r="K90" s="321"/>
      <c r="L90" s="327">
        <f>BDI_SERVIÇOS_MATERIAIS!$E$11*I90</f>
        <v>1505.1022926957726</v>
      </c>
      <c r="M90" s="322"/>
      <c r="N90" s="281" t="s">
        <v>5</v>
      </c>
      <c r="O90" s="284">
        <v>88267</v>
      </c>
      <c r="P90" s="6"/>
    </row>
    <row r="91" spans="2:16" ht="46.8">
      <c r="B91" s="285" t="s">
        <v>65</v>
      </c>
      <c r="C91" s="328" t="s">
        <v>587</v>
      </c>
      <c r="D91" s="244" t="s">
        <v>16</v>
      </c>
      <c r="E91" s="244">
        <v>1485.9</v>
      </c>
      <c r="F91" s="244"/>
      <c r="G91" s="244"/>
      <c r="H91" s="287"/>
      <c r="I91" s="288">
        <f>SUM(I92:I94)</f>
        <v>20877.489360000003</v>
      </c>
      <c r="J91" s="288">
        <f>SUM(J92:J94)</f>
        <v>71310.436118999991</v>
      </c>
      <c r="K91" s="329">
        <f>J91*BDI_SERVIÇOS_MATERIAIS!$E$11</f>
        <v>20789.011623817882</v>
      </c>
      <c r="L91" s="325">
        <f>BDI_SERVIÇOS_MATERIAIS!$E$11*I91</f>
        <v>6086.3793941309668</v>
      </c>
      <c r="M91" s="326">
        <f>SUM(I91:L91)</f>
        <v>119063.31649694884</v>
      </c>
      <c r="N91" s="244" t="s">
        <v>5</v>
      </c>
      <c r="O91" s="330">
        <v>97535</v>
      </c>
      <c r="P91" s="8"/>
    </row>
    <row r="92" spans="2:16" ht="30">
      <c r="B92" s="233"/>
      <c r="C92" s="275" t="s">
        <v>191</v>
      </c>
      <c r="D92" s="253" t="s">
        <v>16</v>
      </c>
      <c r="E92" s="279">
        <f>1.039*E91</f>
        <v>1543.8500999999999</v>
      </c>
      <c r="F92" s="253">
        <v>0</v>
      </c>
      <c r="G92" s="253">
        <f t="shared" ref="G92:G134" si="10">E92-F92</f>
        <v>1543.8500999999999</v>
      </c>
      <c r="H92" s="249">
        <v>46.19</v>
      </c>
      <c r="I92" s="249"/>
      <c r="J92" s="249">
        <f>H92*G92</f>
        <v>71310.436118999991</v>
      </c>
      <c r="K92" s="318">
        <f>J92*BDI_SERVIÇOS_MATERIAIS!$E$11</f>
        <v>20789.011623817882</v>
      </c>
      <c r="L92" s="276"/>
      <c r="M92" s="319"/>
      <c r="N92" s="253" t="s">
        <v>5</v>
      </c>
      <c r="O92" s="331">
        <v>40626</v>
      </c>
      <c r="P92" s="8"/>
    </row>
    <row r="93" spans="2:16" ht="30">
      <c r="B93" s="233"/>
      <c r="C93" s="275" t="s">
        <v>180</v>
      </c>
      <c r="D93" s="253" t="s">
        <v>159</v>
      </c>
      <c r="E93" s="279">
        <f>0.26*E91</f>
        <v>386.33400000000006</v>
      </c>
      <c r="F93" s="253">
        <v>0</v>
      </c>
      <c r="G93" s="253">
        <f t="shared" si="10"/>
        <v>386.33400000000006</v>
      </c>
      <c r="H93" s="249">
        <v>24.98</v>
      </c>
      <c r="I93" s="249">
        <f>G93*H93</f>
        <v>9650.6233200000024</v>
      </c>
      <c r="J93" s="249"/>
      <c r="K93" s="318"/>
      <c r="L93" s="276">
        <f>BDI_SERVIÇOS_MATERIAIS!$E$11*I93</f>
        <v>2813.4300012100589</v>
      </c>
      <c r="M93" s="319"/>
      <c r="N93" s="253" t="s">
        <v>5</v>
      </c>
      <c r="O93" s="331">
        <v>88248</v>
      </c>
      <c r="P93" s="8"/>
    </row>
    <row r="94" spans="2:16" ht="15.6" thickBot="1">
      <c r="B94" s="289"/>
      <c r="C94" s="320" t="s">
        <v>157</v>
      </c>
      <c r="D94" s="281" t="s">
        <v>159</v>
      </c>
      <c r="E94" s="282">
        <f>0.26*E91</f>
        <v>386.33400000000006</v>
      </c>
      <c r="F94" s="281">
        <v>0</v>
      </c>
      <c r="G94" s="281">
        <f t="shared" si="10"/>
        <v>386.33400000000006</v>
      </c>
      <c r="H94" s="283">
        <v>29.06</v>
      </c>
      <c r="I94" s="283">
        <f>G94*H94</f>
        <v>11226.866040000001</v>
      </c>
      <c r="J94" s="283"/>
      <c r="K94" s="321"/>
      <c r="L94" s="327">
        <f>BDI_SERVIÇOS_MATERIAIS!$E$11*I94</f>
        <v>3272.9493929209084</v>
      </c>
      <c r="M94" s="322"/>
      <c r="N94" s="281" t="s">
        <v>5</v>
      </c>
      <c r="O94" s="332">
        <v>88267</v>
      </c>
      <c r="P94" s="8"/>
    </row>
    <row r="95" spans="2:16" ht="46.8">
      <c r="B95" s="285" t="s">
        <v>66</v>
      </c>
      <c r="C95" s="286" t="s">
        <v>586</v>
      </c>
      <c r="D95" s="244" t="s">
        <v>16</v>
      </c>
      <c r="E95" s="244">
        <v>52</v>
      </c>
      <c r="F95" s="244"/>
      <c r="G95" s="244"/>
      <c r="H95" s="333"/>
      <c r="I95" s="288">
        <f>SUM(I96:I98)</f>
        <v>820.54335999999989</v>
      </c>
      <c r="J95" s="270">
        <f>SUM(J96:J98)</f>
        <v>3147.1309999999999</v>
      </c>
      <c r="K95" s="334">
        <f>J95*BDI_SERVIÇOS_MATERIAIS!$E$11</f>
        <v>917.47781252519246</v>
      </c>
      <c r="L95" s="270">
        <f>BDI_SERVIÇOS_MATERIAIS!$E$11*I95</f>
        <v>239.21162703899884</v>
      </c>
      <c r="M95" s="326">
        <f>SUM(I95:L95)</f>
        <v>5124.3637995641911</v>
      </c>
      <c r="N95" s="244" t="s">
        <v>5</v>
      </c>
      <c r="O95" s="245">
        <v>92652</v>
      </c>
      <c r="P95" s="6"/>
    </row>
    <row r="96" spans="2:16" ht="30.6">
      <c r="B96" s="233"/>
      <c r="C96" s="273" t="s">
        <v>192</v>
      </c>
      <c r="D96" s="253" t="s">
        <v>16</v>
      </c>
      <c r="E96" s="279">
        <f>1.039*E95</f>
        <v>54.027999999999999</v>
      </c>
      <c r="F96" s="253">
        <v>0</v>
      </c>
      <c r="G96" s="253">
        <f t="shared" si="10"/>
        <v>54.027999999999999</v>
      </c>
      <c r="H96" s="249">
        <v>58.25</v>
      </c>
      <c r="I96" s="277"/>
      <c r="J96" s="249">
        <f>G96*H96</f>
        <v>3147.1309999999999</v>
      </c>
      <c r="K96" s="318">
        <f>J96*BDI_SERVIÇOS_MATERIAIS!$E$11</f>
        <v>917.47781252519246</v>
      </c>
      <c r="L96" s="276"/>
      <c r="M96" s="319"/>
      <c r="N96" s="253" t="s">
        <v>5</v>
      </c>
      <c r="O96" s="254">
        <v>7698</v>
      </c>
      <c r="P96" s="6"/>
    </row>
    <row r="97" spans="2:16" ht="30.6">
      <c r="B97" s="233"/>
      <c r="C97" s="273" t="s">
        <v>180</v>
      </c>
      <c r="D97" s="253" t="s">
        <v>159</v>
      </c>
      <c r="E97" s="279">
        <f>0.292*E95</f>
        <v>15.183999999999999</v>
      </c>
      <c r="F97" s="253">
        <v>0</v>
      </c>
      <c r="G97" s="253">
        <f t="shared" si="10"/>
        <v>15.183999999999999</v>
      </c>
      <c r="H97" s="249">
        <v>24.98</v>
      </c>
      <c r="I97" s="276">
        <f>G97*H97</f>
        <v>379.29631999999998</v>
      </c>
      <c r="J97" s="249"/>
      <c r="K97" s="318"/>
      <c r="L97" s="276">
        <f>BDI_SERVIÇOS_MATERIAIS!$E$11*I97</f>
        <v>110.5756188644373</v>
      </c>
      <c r="M97" s="319"/>
      <c r="N97" s="253" t="s">
        <v>5</v>
      </c>
      <c r="O97" s="254">
        <v>88248</v>
      </c>
      <c r="P97" s="6"/>
    </row>
    <row r="98" spans="2:16" ht="16.2" thickBot="1">
      <c r="B98" s="233"/>
      <c r="C98" s="280" t="s">
        <v>157</v>
      </c>
      <c r="D98" s="281" t="s">
        <v>159</v>
      </c>
      <c r="E98" s="282">
        <f>0.292*E95</f>
        <v>15.183999999999999</v>
      </c>
      <c r="F98" s="281">
        <v>0</v>
      </c>
      <c r="G98" s="281">
        <f t="shared" si="10"/>
        <v>15.183999999999999</v>
      </c>
      <c r="H98" s="283">
        <v>29.06</v>
      </c>
      <c r="I98" s="291">
        <f>G98*H98</f>
        <v>441.24703999999997</v>
      </c>
      <c r="J98" s="283"/>
      <c r="K98" s="321"/>
      <c r="L98" s="327">
        <f>BDI_SERVIÇOS_MATERIAIS!$E$11*I98</f>
        <v>128.63600817456157</v>
      </c>
      <c r="M98" s="322"/>
      <c r="N98" s="281" t="s">
        <v>5</v>
      </c>
      <c r="O98" s="284">
        <v>88267</v>
      </c>
      <c r="P98" s="6"/>
    </row>
    <row r="99" spans="2:16" ht="46.8">
      <c r="B99" s="285" t="s">
        <v>67</v>
      </c>
      <c r="C99" s="286" t="s">
        <v>588</v>
      </c>
      <c r="D99" s="244" t="s">
        <v>16</v>
      </c>
      <c r="E99" s="244">
        <v>3726</v>
      </c>
      <c r="F99" s="244"/>
      <c r="G99" s="244"/>
      <c r="H99" s="287"/>
      <c r="I99" s="288">
        <f>SUM(I100:I102)</f>
        <v>58795.087679999997</v>
      </c>
      <c r="J99" s="270">
        <f>SUM(J100:J102)</f>
        <v>261933.10523999998</v>
      </c>
      <c r="K99" s="334">
        <f>J99*BDI_SERVIÇOS_MATERIAIS!$E$11</f>
        <v>76360.918062681929</v>
      </c>
      <c r="L99" s="316">
        <f>BDI_SERVIÇOS_MATERIAIS!$E$11*I99</f>
        <v>17140.433122063649</v>
      </c>
      <c r="M99" s="326">
        <f>SUM(I99:L99)</f>
        <v>414229.5441047455</v>
      </c>
      <c r="N99" s="244" t="s">
        <v>5</v>
      </c>
      <c r="O99" s="245">
        <v>92653</v>
      </c>
      <c r="P99" s="6"/>
    </row>
    <row r="100" spans="2:16" ht="30.6">
      <c r="B100" s="233"/>
      <c r="C100" s="335" t="s">
        <v>193</v>
      </c>
      <c r="D100" s="253" t="s">
        <v>16</v>
      </c>
      <c r="E100" s="279">
        <f>1.039*E99</f>
        <v>3871.3139999999999</v>
      </c>
      <c r="F100" s="253">
        <v>0</v>
      </c>
      <c r="G100" s="253">
        <f t="shared" si="10"/>
        <v>3871.3139999999999</v>
      </c>
      <c r="H100" s="249">
        <v>67.66</v>
      </c>
      <c r="I100" s="249"/>
      <c r="J100" s="249">
        <f>G100*H100</f>
        <v>261933.10523999998</v>
      </c>
      <c r="K100" s="318">
        <f>J100*BDI_SERVIÇOS_MATERIAIS!$E$11</f>
        <v>76360.918062681929</v>
      </c>
      <c r="L100" s="276"/>
      <c r="M100" s="319"/>
      <c r="N100" s="253" t="s">
        <v>5</v>
      </c>
      <c r="O100" s="254">
        <v>7697</v>
      </c>
      <c r="P100" s="6"/>
    </row>
    <row r="101" spans="2:16" ht="30.6">
      <c r="B101" s="233"/>
      <c r="C101" s="335" t="s">
        <v>180</v>
      </c>
      <c r="D101" s="253" t="s">
        <v>159</v>
      </c>
      <c r="E101" s="279">
        <f>0.292*E99</f>
        <v>1087.992</v>
      </c>
      <c r="F101" s="253">
        <v>0</v>
      </c>
      <c r="G101" s="253">
        <f t="shared" si="10"/>
        <v>1087.992</v>
      </c>
      <c r="H101" s="249">
        <v>24.98</v>
      </c>
      <c r="I101" s="249">
        <f>G101*H101</f>
        <v>27178.04016</v>
      </c>
      <c r="J101" s="249"/>
      <c r="K101" s="318"/>
      <c r="L101" s="276">
        <f>BDI_SERVIÇOS_MATERIAIS!$E$11*I101</f>
        <v>7923.1683824787187</v>
      </c>
      <c r="M101" s="319"/>
      <c r="N101" s="253" t="s">
        <v>5</v>
      </c>
      <c r="O101" s="254">
        <v>88248</v>
      </c>
      <c r="P101" s="6"/>
    </row>
    <row r="102" spans="2:16" ht="16.2" thickBot="1">
      <c r="B102" s="233"/>
      <c r="C102" s="336" t="s">
        <v>157</v>
      </c>
      <c r="D102" s="281" t="s">
        <v>159</v>
      </c>
      <c r="E102" s="282">
        <f>0.292*E99</f>
        <v>1087.992</v>
      </c>
      <c r="F102" s="281">
        <v>0</v>
      </c>
      <c r="G102" s="281">
        <f t="shared" si="10"/>
        <v>1087.992</v>
      </c>
      <c r="H102" s="283">
        <v>29.06</v>
      </c>
      <c r="I102" s="283">
        <f>G102*H102</f>
        <v>31617.047519999996</v>
      </c>
      <c r="J102" s="283"/>
      <c r="K102" s="321"/>
      <c r="L102" s="327">
        <f>BDI_SERVIÇOS_MATERIAIS!$E$11*I102</f>
        <v>9217.2647395849308</v>
      </c>
      <c r="M102" s="322"/>
      <c r="N102" s="281" t="s">
        <v>5</v>
      </c>
      <c r="O102" s="284">
        <v>88267</v>
      </c>
      <c r="P102" s="6"/>
    </row>
    <row r="103" spans="2:16" ht="46.8">
      <c r="B103" s="285" t="s">
        <v>68</v>
      </c>
      <c r="C103" s="286" t="s">
        <v>589</v>
      </c>
      <c r="D103" s="244" t="s">
        <v>16</v>
      </c>
      <c r="E103" s="244">
        <v>3117.5</v>
      </c>
      <c r="F103" s="244"/>
      <c r="G103" s="337"/>
      <c r="H103" s="333"/>
      <c r="I103" s="338">
        <f>SUM(I104:I106)</f>
        <v>52731.016100000001</v>
      </c>
      <c r="J103" s="270">
        <f>SUM(J104:J106)</f>
        <v>316069.67034999997</v>
      </c>
      <c r="K103" s="334">
        <f>J103*BDI_SERVIÇOS_MATERIAIS!$E$11</f>
        <v>92143.259927304156</v>
      </c>
      <c r="L103" s="316">
        <f>BDI_SERVIÇOS_MATERIAIS!$E$11*I103</f>
        <v>15372.584523382951</v>
      </c>
      <c r="M103" s="326">
        <f>SUM(I103:L103)</f>
        <v>476316.5309006871</v>
      </c>
      <c r="N103" s="244" t="s">
        <v>5</v>
      </c>
      <c r="O103" s="245">
        <v>92654</v>
      </c>
      <c r="P103" s="6"/>
    </row>
    <row r="104" spans="2:16" ht="30.6">
      <c r="B104" s="233"/>
      <c r="C104" s="273" t="s">
        <v>194</v>
      </c>
      <c r="D104" s="253" t="s">
        <v>18</v>
      </c>
      <c r="E104" s="279">
        <f>1.039*E103</f>
        <v>3239.0825</v>
      </c>
      <c r="F104" s="253">
        <v>0</v>
      </c>
      <c r="G104" s="279">
        <f t="shared" si="10"/>
        <v>3239.0825</v>
      </c>
      <c r="H104" s="249">
        <v>97.58</v>
      </c>
      <c r="I104" s="277"/>
      <c r="J104" s="249">
        <f>G104*H104</f>
        <v>316069.67034999997</v>
      </c>
      <c r="K104" s="318">
        <f>J104*BDI_SERVIÇOS_MATERIAIS!$E$11</f>
        <v>92143.259927304156</v>
      </c>
      <c r="L104" s="276"/>
      <c r="M104" s="319"/>
      <c r="N104" s="253" t="s">
        <v>5</v>
      </c>
      <c r="O104" s="254">
        <v>7696</v>
      </c>
      <c r="P104" s="6"/>
    </row>
    <row r="105" spans="2:16" ht="30.6">
      <c r="B105" s="233"/>
      <c r="C105" s="273" t="s">
        <v>180</v>
      </c>
      <c r="D105" s="253" t="s">
        <v>159</v>
      </c>
      <c r="E105" s="279">
        <f>0.313*E103</f>
        <v>975.77750000000003</v>
      </c>
      <c r="F105" s="253">
        <v>0</v>
      </c>
      <c r="G105" s="279">
        <f t="shared" si="10"/>
        <v>975.77750000000003</v>
      </c>
      <c r="H105" s="249">
        <v>24.98</v>
      </c>
      <c r="I105" s="276">
        <f>G105*H105</f>
        <v>24374.92195</v>
      </c>
      <c r="J105" s="249"/>
      <c r="K105" s="318"/>
      <c r="L105" s="276">
        <f>BDI_SERVIÇOS_MATERIAIS!$E$11*I105</f>
        <v>7105.9800406015192</v>
      </c>
      <c r="M105" s="319"/>
      <c r="N105" s="253" t="s">
        <v>5</v>
      </c>
      <c r="O105" s="254">
        <v>88248</v>
      </c>
      <c r="P105" s="6"/>
    </row>
    <row r="106" spans="2:16" ht="16.2" thickBot="1">
      <c r="B106" s="233"/>
      <c r="C106" s="280" t="s">
        <v>157</v>
      </c>
      <c r="D106" s="281" t="s">
        <v>159</v>
      </c>
      <c r="E106" s="282">
        <f>0.313*E103</f>
        <v>975.77750000000003</v>
      </c>
      <c r="F106" s="281">
        <v>0</v>
      </c>
      <c r="G106" s="282">
        <f t="shared" si="10"/>
        <v>975.77750000000003</v>
      </c>
      <c r="H106" s="283">
        <v>29.06</v>
      </c>
      <c r="I106" s="291">
        <f>G106*H106</f>
        <v>28356.094150000001</v>
      </c>
      <c r="J106" s="283"/>
      <c r="K106" s="321"/>
      <c r="L106" s="327">
        <f>BDI_SERVIÇOS_MATERIAIS!$E$11*I106</f>
        <v>8266.6044827814312</v>
      </c>
      <c r="M106" s="322"/>
      <c r="N106" s="281" t="s">
        <v>5</v>
      </c>
      <c r="O106" s="284">
        <v>88267</v>
      </c>
      <c r="P106" s="6"/>
    </row>
    <row r="107" spans="2:16" ht="46.8">
      <c r="B107" s="285" t="s">
        <v>69</v>
      </c>
      <c r="C107" s="286" t="s">
        <v>590</v>
      </c>
      <c r="D107" s="244" t="s">
        <v>18</v>
      </c>
      <c r="E107" s="292">
        <f>374.25+124</f>
        <v>498.25</v>
      </c>
      <c r="F107" s="244"/>
      <c r="G107" s="337"/>
      <c r="H107" s="333"/>
      <c r="I107" s="288">
        <f>SUM(I108:I110)</f>
        <v>9289.2733499999995</v>
      </c>
      <c r="J107" s="270">
        <f>SUM(J108:J110)</f>
        <v>62686.083107499995</v>
      </c>
      <c r="K107" s="334">
        <f>J107*BDI_SERVIÇOS_MATERIAIS!$E$11</f>
        <v>18274.768481274379</v>
      </c>
      <c r="L107" s="316">
        <f>BDI_SERVIÇOS_MATERIAIS!$E$11*I107</f>
        <v>2708.0862516071197</v>
      </c>
      <c r="M107" s="326">
        <f>SUM(I107:L107)</f>
        <v>92958.211190381495</v>
      </c>
      <c r="N107" s="244" t="s">
        <v>5</v>
      </c>
      <c r="O107" s="245">
        <v>92655</v>
      </c>
      <c r="P107" s="6"/>
    </row>
    <row r="108" spans="2:16" ht="30.6">
      <c r="B108" s="233"/>
      <c r="C108" s="335" t="s">
        <v>179</v>
      </c>
      <c r="D108" s="253" t="s">
        <v>18</v>
      </c>
      <c r="E108" s="293">
        <f>1.039*E107</f>
        <v>517.68174999999997</v>
      </c>
      <c r="F108" s="253">
        <v>0</v>
      </c>
      <c r="G108" s="279">
        <f t="shared" si="10"/>
        <v>517.68174999999997</v>
      </c>
      <c r="H108" s="249">
        <v>121.09</v>
      </c>
      <c r="I108" s="277"/>
      <c r="J108" s="249">
        <f>G108*H108</f>
        <v>62686.083107499995</v>
      </c>
      <c r="K108" s="318">
        <f>J108*BDI_SERVIÇOS_MATERIAIS!$E$11</f>
        <v>18274.768481274379</v>
      </c>
      <c r="L108" s="276">
        <f>BDI_SERVIÇOS_MATERIAIS!$E$11*I108</f>
        <v>0</v>
      </c>
      <c r="M108" s="319"/>
      <c r="N108" s="253" t="s">
        <v>5</v>
      </c>
      <c r="O108" s="254">
        <v>7701</v>
      </c>
      <c r="P108" s="6"/>
    </row>
    <row r="109" spans="2:16" ht="30.6">
      <c r="B109" s="233"/>
      <c r="C109" s="335" t="s">
        <v>180</v>
      </c>
      <c r="D109" s="253" t="s">
        <v>159</v>
      </c>
      <c r="E109" s="293">
        <f>0.345*E107</f>
        <v>171.89624999999998</v>
      </c>
      <c r="F109" s="253">
        <v>0</v>
      </c>
      <c r="G109" s="279">
        <f t="shared" si="10"/>
        <v>171.89624999999998</v>
      </c>
      <c r="H109" s="249">
        <v>24.98</v>
      </c>
      <c r="I109" s="276">
        <f>G109*H109</f>
        <v>4293.9683249999998</v>
      </c>
      <c r="J109" s="249"/>
      <c r="K109" s="318"/>
      <c r="L109" s="276">
        <f>BDI_SERVIÇOS_MATERIAIS!$E$11*I109</f>
        <v>1251.8133709316405</v>
      </c>
      <c r="M109" s="319"/>
      <c r="N109" s="253" t="s">
        <v>5</v>
      </c>
      <c r="O109" s="254">
        <v>88248</v>
      </c>
      <c r="P109" s="6"/>
    </row>
    <row r="110" spans="2:16" ht="16.2" thickBot="1">
      <c r="B110" s="233"/>
      <c r="C110" s="336" t="s">
        <v>157</v>
      </c>
      <c r="D110" s="281" t="s">
        <v>159</v>
      </c>
      <c r="E110" s="294">
        <f>0.345*E107</f>
        <v>171.89624999999998</v>
      </c>
      <c r="F110" s="281">
        <v>0</v>
      </c>
      <c r="G110" s="282">
        <f t="shared" si="10"/>
        <v>171.89624999999998</v>
      </c>
      <c r="H110" s="283">
        <v>29.06</v>
      </c>
      <c r="I110" s="291">
        <f>G110*H110</f>
        <v>4995.3050249999997</v>
      </c>
      <c r="J110" s="283"/>
      <c r="K110" s="321"/>
      <c r="L110" s="327">
        <f>BDI_SERVIÇOS_MATERIAIS!$E$11*I110</f>
        <v>1456.2728806754792</v>
      </c>
      <c r="M110" s="322"/>
      <c r="N110" s="281" t="s">
        <v>5</v>
      </c>
      <c r="O110" s="284">
        <v>88267</v>
      </c>
      <c r="P110" s="6"/>
    </row>
    <row r="111" spans="2:16" ht="15.6">
      <c r="B111" s="285" t="s">
        <v>70</v>
      </c>
      <c r="C111" s="286" t="s">
        <v>232</v>
      </c>
      <c r="D111" s="244" t="s">
        <v>18</v>
      </c>
      <c r="E111" s="292">
        <v>489.1</v>
      </c>
      <c r="F111" s="244"/>
      <c r="G111" s="244"/>
      <c r="H111" s="323">
        <v>0</v>
      </c>
      <c r="I111" s="241">
        <f>SUM(I112:I114)</f>
        <v>11893.933800000003</v>
      </c>
      <c r="J111" s="270">
        <f>SUM(J112:J114)</f>
        <v>114044.61105799999</v>
      </c>
      <c r="K111" s="339">
        <f>J111*BDI_SERVIÇOS_MATERIAIS!$E$11</f>
        <v>33247.233840529749</v>
      </c>
      <c r="L111" s="316">
        <f>BDI_SERVIÇOS_MATERIAIS!$E$11*I111</f>
        <v>3467.4185361662585</v>
      </c>
      <c r="M111" s="326">
        <f>SUM(I111:L111)</f>
        <v>162653.19723469601</v>
      </c>
      <c r="N111" s="244" t="s">
        <v>5</v>
      </c>
      <c r="O111" s="245"/>
      <c r="P111" s="6"/>
    </row>
    <row r="112" spans="2:16" ht="30.6">
      <c r="B112" s="233"/>
      <c r="C112" s="335" t="s">
        <v>175</v>
      </c>
      <c r="D112" s="253" t="s">
        <v>18</v>
      </c>
      <c r="E112" s="293">
        <f>1.039*E111</f>
        <v>508.17489999999998</v>
      </c>
      <c r="F112" s="253">
        <v>0</v>
      </c>
      <c r="G112" s="253">
        <f t="shared" si="10"/>
        <v>508.17489999999998</v>
      </c>
      <c r="H112" s="249">
        <v>224.42</v>
      </c>
      <c r="I112" s="277"/>
      <c r="J112" s="249">
        <f>G112*H112</f>
        <v>114044.61105799999</v>
      </c>
      <c r="K112" s="318">
        <f>J112*BDI_SERVIÇOS_MATERIAIS!$E$11</f>
        <v>33247.233840529749</v>
      </c>
      <c r="L112" s="276"/>
      <c r="M112" s="319"/>
      <c r="N112" s="253" t="s">
        <v>5</v>
      </c>
      <c r="O112" s="254">
        <v>7693</v>
      </c>
      <c r="P112" s="6"/>
    </row>
    <row r="113" spans="2:16" ht="30.6">
      <c r="B113" s="233"/>
      <c r="C113" s="335" t="s">
        <v>180</v>
      </c>
      <c r="D113" s="253" t="s">
        <v>159</v>
      </c>
      <c r="E113" s="253">
        <f>0.45*E111</f>
        <v>220.09500000000003</v>
      </c>
      <c r="F113" s="253">
        <v>0</v>
      </c>
      <c r="G113" s="253">
        <f t="shared" si="10"/>
        <v>220.09500000000003</v>
      </c>
      <c r="H113" s="249">
        <v>24.98</v>
      </c>
      <c r="I113" s="276">
        <f>G113*H113</f>
        <v>5497.9731000000011</v>
      </c>
      <c r="J113" s="249"/>
      <c r="K113" s="318"/>
      <c r="L113" s="276">
        <f>BDI_SERVIÇOS_MATERIAIS!$E$11*I113</f>
        <v>1602.8148599821084</v>
      </c>
      <c r="M113" s="319"/>
      <c r="N113" s="253" t="s">
        <v>5</v>
      </c>
      <c r="O113" s="254">
        <v>88248</v>
      </c>
      <c r="P113" s="6"/>
    </row>
    <row r="114" spans="2:16" ht="16.2" thickBot="1">
      <c r="B114" s="233"/>
      <c r="C114" s="336" t="s">
        <v>157</v>
      </c>
      <c r="D114" s="281" t="s">
        <v>159</v>
      </c>
      <c r="E114" s="281">
        <f>0.45*E111</f>
        <v>220.09500000000003</v>
      </c>
      <c r="F114" s="281">
        <v>0</v>
      </c>
      <c r="G114" s="281">
        <f t="shared" si="10"/>
        <v>220.09500000000003</v>
      </c>
      <c r="H114" s="283">
        <v>29.06</v>
      </c>
      <c r="I114" s="291">
        <f>G114*H114</f>
        <v>6395.9607000000005</v>
      </c>
      <c r="J114" s="283"/>
      <c r="K114" s="321"/>
      <c r="L114" s="321">
        <f>BDI_SERVIÇOS_MATERIAIS!$E$11*I114</f>
        <v>1864.6036761841499</v>
      </c>
      <c r="M114" s="322"/>
      <c r="N114" s="281" t="s">
        <v>5</v>
      </c>
      <c r="O114" s="284">
        <v>88267</v>
      </c>
      <c r="P114" s="6"/>
    </row>
    <row r="115" spans="2:16" ht="15.6">
      <c r="B115" s="285" t="s">
        <v>71</v>
      </c>
      <c r="C115" s="286" t="s">
        <v>233</v>
      </c>
      <c r="D115" s="244" t="s">
        <v>16</v>
      </c>
      <c r="E115" s="244">
        <v>110.9</v>
      </c>
      <c r="F115" s="244"/>
      <c r="G115" s="244"/>
      <c r="H115" s="287"/>
      <c r="I115" s="241">
        <f>SUM(I116:I118)</f>
        <v>5094.0805999999993</v>
      </c>
      <c r="J115" s="270">
        <f>SUM(J116:J118)</f>
        <v>41986.874188999995</v>
      </c>
      <c r="K115" s="339">
        <f>J115*BDI_SERVIÇOS_MATERIAIS!$E$11</f>
        <v>12240.362884701712</v>
      </c>
      <c r="L115" s="339">
        <f>BDI_SERVIÇOS_MATERIAIS!$E$11*I115</f>
        <v>1485.0687580895169</v>
      </c>
      <c r="M115" s="326">
        <f>SUM(I115:L115)</f>
        <v>60806.386431791223</v>
      </c>
      <c r="N115" s="244" t="s">
        <v>5</v>
      </c>
      <c r="O115" s="245"/>
      <c r="P115" s="6"/>
    </row>
    <row r="116" spans="2:16" ht="30.6">
      <c r="B116" s="233"/>
      <c r="C116" s="335" t="s">
        <v>195</v>
      </c>
      <c r="D116" s="253" t="s">
        <v>16</v>
      </c>
      <c r="E116" s="279">
        <f>E115*1.039</f>
        <v>115.2251</v>
      </c>
      <c r="F116" s="253">
        <v>0</v>
      </c>
      <c r="G116" s="253">
        <f t="shared" si="10"/>
        <v>115.2251</v>
      </c>
      <c r="H116" s="249">
        <v>364.39</v>
      </c>
      <c r="I116" s="277"/>
      <c r="J116" s="249">
        <f>G116*H116</f>
        <v>41986.874188999995</v>
      </c>
      <c r="K116" s="318">
        <f>J116*BDI_SERVIÇOS_MATERIAIS!$E$11</f>
        <v>12240.362884701712</v>
      </c>
      <c r="L116" s="276"/>
      <c r="M116" s="319"/>
      <c r="N116" s="253" t="s">
        <v>5</v>
      </c>
      <c r="O116" s="254">
        <v>7695</v>
      </c>
      <c r="P116" s="6"/>
    </row>
    <row r="117" spans="2:16" ht="30.6">
      <c r="B117" s="233"/>
      <c r="C117" s="335" t="s">
        <v>180</v>
      </c>
      <c r="D117" s="253" t="s">
        <v>159</v>
      </c>
      <c r="E117" s="253">
        <f>0.85*E115</f>
        <v>94.265000000000001</v>
      </c>
      <c r="F117" s="253">
        <v>0</v>
      </c>
      <c r="G117" s="253">
        <f t="shared" si="10"/>
        <v>94.265000000000001</v>
      </c>
      <c r="H117" s="249">
        <v>24.98</v>
      </c>
      <c r="I117" s="276">
        <f>G117*H117</f>
        <v>2354.7397000000001</v>
      </c>
      <c r="J117" s="249"/>
      <c r="K117" s="318"/>
      <c r="L117" s="276">
        <f>BDI_SERVIÇOS_MATERIAIS!$E$11*I117</f>
        <v>686.47330823605</v>
      </c>
      <c r="M117" s="319"/>
      <c r="N117" s="253" t="s">
        <v>5</v>
      </c>
      <c r="O117" s="254">
        <v>88248</v>
      </c>
      <c r="P117" s="6"/>
    </row>
    <row r="118" spans="2:16" ht="16.2" thickBot="1">
      <c r="B118" s="233"/>
      <c r="C118" s="336" t="s">
        <v>157</v>
      </c>
      <c r="D118" s="281" t="s">
        <v>159</v>
      </c>
      <c r="E118" s="281">
        <f>0.85*E115</f>
        <v>94.265000000000001</v>
      </c>
      <c r="F118" s="281">
        <v>0</v>
      </c>
      <c r="G118" s="281">
        <f t="shared" si="10"/>
        <v>94.265000000000001</v>
      </c>
      <c r="H118" s="283">
        <v>29.06</v>
      </c>
      <c r="I118" s="291">
        <f>G118*H118</f>
        <v>2739.3408999999997</v>
      </c>
      <c r="J118" s="283"/>
      <c r="K118" s="321"/>
      <c r="L118" s="321">
        <f>BDI_SERVIÇOS_MATERIAIS!$E$11*I118</f>
        <v>798.59544985346713</v>
      </c>
      <c r="M118" s="322"/>
      <c r="N118" s="281" t="s">
        <v>5</v>
      </c>
      <c r="O118" s="284">
        <v>88267</v>
      </c>
      <c r="P118" s="6"/>
    </row>
    <row r="119" spans="2:16" ht="46.8">
      <c r="B119" s="285" t="s">
        <v>84</v>
      </c>
      <c r="C119" s="286" t="s">
        <v>196</v>
      </c>
      <c r="D119" s="244" t="s">
        <v>7</v>
      </c>
      <c r="E119" s="244">
        <v>898</v>
      </c>
      <c r="F119" s="244"/>
      <c r="G119" s="244"/>
      <c r="H119" s="340"/>
      <c r="I119" s="241">
        <f>SUM(I120:I124)</f>
        <v>21886.091919999999</v>
      </c>
      <c r="J119" s="288">
        <f>SUM(J120:J124)</f>
        <v>14861.2714</v>
      </c>
      <c r="K119" s="329">
        <f>J119*BDI_SERVIÇOS_MATERIAIS!$E$11</f>
        <v>4332.4814808837655</v>
      </c>
      <c r="L119" s="288">
        <f>BDI_SERVIÇOS_MATERIAIS!$E$11*I119</f>
        <v>6380.4156037632019</v>
      </c>
      <c r="M119" s="326">
        <f>SUM(I119:L119)</f>
        <v>47460.260404646964</v>
      </c>
      <c r="N119" s="244" t="s">
        <v>5</v>
      </c>
      <c r="O119" s="245">
        <v>92670</v>
      </c>
      <c r="P119" s="6"/>
    </row>
    <row r="120" spans="2:16" ht="15.6">
      <c r="B120" s="233"/>
      <c r="C120" s="273" t="s">
        <v>183</v>
      </c>
      <c r="D120" s="253" t="s">
        <v>7</v>
      </c>
      <c r="E120" s="253">
        <f>0.013*E119</f>
        <v>11.673999999999999</v>
      </c>
      <c r="F120" s="253">
        <v>0</v>
      </c>
      <c r="G120" s="279">
        <f t="shared" si="10"/>
        <v>11.673999999999999</v>
      </c>
      <c r="H120" s="249">
        <v>7.74</v>
      </c>
      <c r="I120" s="341"/>
      <c r="J120" s="249">
        <f>H120*G120</f>
        <v>90.356759999999994</v>
      </c>
      <c r="K120" s="318">
        <f>J120*BDI_SERVIÇOS_MATERIAIS!$E$11</f>
        <v>26.341554422635667</v>
      </c>
      <c r="L120" s="276"/>
      <c r="M120" s="319"/>
      <c r="N120" s="253" t="s">
        <v>5</v>
      </c>
      <c r="O120" s="254">
        <v>3148</v>
      </c>
      <c r="P120" s="6"/>
    </row>
    <row r="121" spans="2:16" ht="15.6">
      <c r="B121" s="233"/>
      <c r="C121" s="273" t="s">
        <v>197</v>
      </c>
      <c r="D121" s="253" t="s">
        <v>7</v>
      </c>
      <c r="E121" s="253">
        <f>E119</f>
        <v>898</v>
      </c>
      <c r="F121" s="253">
        <v>0</v>
      </c>
      <c r="G121" s="279">
        <f t="shared" si="10"/>
        <v>898</v>
      </c>
      <c r="H121" s="341">
        <v>16.329999999999998</v>
      </c>
      <c r="I121" s="341"/>
      <c r="J121" s="249">
        <f>H121*G121</f>
        <v>14664.339999999998</v>
      </c>
      <c r="K121" s="318">
        <f>J121*BDI_SERVIÇOS_MATERIAIS!$E$11</f>
        <v>4275.0704007318664</v>
      </c>
      <c r="L121" s="276"/>
      <c r="M121" s="319"/>
      <c r="N121" s="253" t="s">
        <v>5</v>
      </c>
      <c r="O121" s="254">
        <v>3472</v>
      </c>
      <c r="P121" s="6"/>
    </row>
    <row r="122" spans="2:16" ht="15.6">
      <c r="B122" s="233"/>
      <c r="C122" s="273" t="s">
        <v>184</v>
      </c>
      <c r="D122" s="253" t="s">
        <v>185</v>
      </c>
      <c r="E122" s="253">
        <f>0.003*E119</f>
        <v>2.694</v>
      </c>
      <c r="F122" s="253">
        <v>0</v>
      </c>
      <c r="G122" s="279">
        <f t="shared" si="10"/>
        <v>2.694</v>
      </c>
      <c r="H122" s="249">
        <v>39.56</v>
      </c>
      <c r="I122" s="341"/>
      <c r="J122" s="249">
        <f>H122*G122</f>
        <v>106.57464</v>
      </c>
      <c r="K122" s="318">
        <f>J122*BDI_SERVIÇOS_MATERIAIS!$E$11</f>
        <v>31.069525729262583</v>
      </c>
      <c r="L122" s="276"/>
      <c r="M122" s="319"/>
      <c r="N122" s="253" t="s">
        <v>5</v>
      </c>
      <c r="O122" s="254">
        <v>7307</v>
      </c>
      <c r="P122" s="6"/>
    </row>
    <row r="123" spans="2:16" ht="30.6">
      <c r="B123" s="233"/>
      <c r="C123" s="273" t="s">
        <v>180</v>
      </c>
      <c r="D123" s="253" t="s">
        <v>159</v>
      </c>
      <c r="E123" s="253">
        <f>0.451*E119</f>
        <v>404.99799999999999</v>
      </c>
      <c r="F123" s="253">
        <v>0</v>
      </c>
      <c r="G123" s="279">
        <f t="shared" si="10"/>
        <v>404.99799999999999</v>
      </c>
      <c r="H123" s="249">
        <v>24.98</v>
      </c>
      <c r="I123" s="341">
        <f>G123*H123</f>
        <v>10116.850039999999</v>
      </c>
      <c r="J123" s="249"/>
      <c r="K123" s="318"/>
      <c r="L123" s="276">
        <f>BDI_SERVIÇOS_MATERIAIS!$E$11*I123</f>
        <v>2949.3482935234047</v>
      </c>
      <c r="M123" s="319"/>
      <c r="N123" s="253" t="s">
        <v>5</v>
      </c>
      <c r="O123" s="254">
        <v>88248</v>
      </c>
      <c r="P123" s="6"/>
    </row>
    <row r="124" spans="2:16" ht="16.2" thickBot="1">
      <c r="B124" s="289"/>
      <c r="C124" s="280" t="s">
        <v>157</v>
      </c>
      <c r="D124" s="281" t="s">
        <v>159</v>
      </c>
      <c r="E124" s="281">
        <f>0.451*E119</f>
        <v>404.99799999999999</v>
      </c>
      <c r="F124" s="281">
        <v>0</v>
      </c>
      <c r="G124" s="282">
        <f t="shared" si="10"/>
        <v>404.99799999999999</v>
      </c>
      <c r="H124" s="283">
        <v>29.06</v>
      </c>
      <c r="I124" s="342">
        <f>G124*H124</f>
        <v>11769.24188</v>
      </c>
      <c r="J124" s="283"/>
      <c r="K124" s="321"/>
      <c r="L124" s="283">
        <f>BDI_SERVIÇOS_MATERIAIS!$E$11*I124</f>
        <v>3431.0673102397973</v>
      </c>
      <c r="M124" s="322"/>
      <c r="N124" s="281" t="s">
        <v>5</v>
      </c>
      <c r="O124" s="284">
        <v>88267</v>
      </c>
      <c r="P124" s="6"/>
    </row>
    <row r="125" spans="2:16" ht="46.8">
      <c r="B125" s="285" t="s">
        <v>85</v>
      </c>
      <c r="C125" s="286" t="s">
        <v>591</v>
      </c>
      <c r="D125" s="244" t="s">
        <v>7</v>
      </c>
      <c r="E125" s="337">
        <v>16</v>
      </c>
      <c r="F125" s="244"/>
      <c r="G125" s="337"/>
      <c r="H125" s="340"/>
      <c r="I125" s="241">
        <f>SUM(I126:I130)</f>
        <v>412.43327999999997</v>
      </c>
      <c r="J125" s="241">
        <f>SUM(J126:J130)</f>
        <v>414.07711999999998</v>
      </c>
      <c r="K125" s="329">
        <f>J125*BDI_SERVIÇOS_MATERIAIS!$E$11</f>
        <v>120.71520704868391</v>
      </c>
      <c r="L125" s="325">
        <f>BDI_SERVIÇOS_MATERIAIS!$E$11*I125</f>
        <v>120.23598113551365</v>
      </c>
      <c r="M125" s="343">
        <f>SUM(I125:L125)</f>
        <v>1067.4615881841974</v>
      </c>
      <c r="N125" s="244" t="s">
        <v>5</v>
      </c>
      <c r="O125" s="245">
        <v>92672</v>
      </c>
      <c r="P125" s="6"/>
    </row>
    <row r="126" spans="2:16" ht="15.6">
      <c r="B126" s="233"/>
      <c r="C126" s="335" t="s">
        <v>183</v>
      </c>
      <c r="D126" s="253" t="s">
        <v>7</v>
      </c>
      <c r="E126" s="279">
        <f>0.017*E125</f>
        <v>0.27200000000000002</v>
      </c>
      <c r="F126" s="253">
        <v>0</v>
      </c>
      <c r="G126" s="279">
        <f t="shared" si="10"/>
        <v>0.27200000000000002</v>
      </c>
      <c r="H126" s="249">
        <v>7.74</v>
      </c>
      <c r="I126" s="341"/>
      <c r="J126" s="341">
        <f>G126*H126</f>
        <v>2.10528</v>
      </c>
      <c r="K126" s="318">
        <f>J126*BDI_SERVIÇOS_MATERIAIS!$E$11</f>
        <v>0.61374874104479205</v>
      </c>
      <c r="L126" s="276"/>
      <c r="M126" s="344"/>
      <c r="N126" s="253" t="s">
        <v>5</v>
      </c>
      <c r="O126" s="254">
        <v>3148</v>
      </c>
      <c r="P126" s="6"/>
    </row>
    <row r="127" spans="2:16" ht="15.6">
      <c r="B127" s="233"/>
      <c r="C127" s="335" t="s">
        <v>198</v>
      </c>
      <c r="D127" s="253" t="s">
        <v>7</v>
      </c>
      <c r="E127" s="279">
        <v>16</v>
      </c>
      <c r="F127" s="253">
        <v>0</v>
      </c>
      <c r="G127" s="279">
        <f t="shared" si="10"/>
        <v>16</v>
      </c>
      <c r="H127" s="341">
        <v>25.59</v>
      </c>
      <c r="I127" s="341"/>
      <c r="J127" s="341">
        <f>G127*H127</f>
        <v>409.44</v>
      </c>
      <c r="K127" s="318">
        <f>J127*BDI_SERVIÇOS_MATERIAIS!$E$11</f>
        <v>119.36335524651335</v>
      </c>
      <c r="L127" s="276"/>
      <c r="M127" s="344"/>
      <c r="N127" s="253" t="s">
        <v>5</v>
      </c>
      <c r="O127" s="254">
        <v>3457</v>
      </c>
      <c r="P127" s="6"/>
    </row>
    <row r="128" spans="2:16" ht="15.6">
      <c r="B128" s="233"/>
      <c r="C128" s="335" t="s">
        <v>184</v>
      </c>
      <c r="D128" s="253" t="s">
        <v>185</v>
      </c>
      <c r="E128" s="279">
        <f>0.004*E125</f>
        <v>6.4000000000000001E-2</v>
      </c>
      <c r="F128" s="253">
        <v>0</v>
      </c>
      <c r="G128" s="279">
        <f t="shared" si="10"/>
        <v>6.4000000000000001E-2</v>
      </c>
      <c r="H128" s="249">
        <v>39.56</v>
      </c>
      <c r="I128" s="341"/>
      <c r="J128" s="341">
        <f>G128*H128</f>
        <v>2.5318400000000003</v>
      </c>
      <c r="K128" s="318">
        <f>J128*BDI_SERVIÇOS_MATERIAIS!$E$11</f>
        <v>0.73810306112576307</v>
      </c>
      <c r="L128" s="276"/>
      <c r="M128" s="344"/>
      <c r="N128" s="253" t="s">
        <v>5</v>
      </c>
      <c r="O128" s="254">
        <v>7307</v>
      </c>
      <c r="P128" s="6"/>
    </row>
    <row r="129" spans="2:16" ht="30.6">
      <c r="B129" s="233"/>
      <c r="C129" s="335" t="s">
        <v>180</v>
      </c>
      <c r="D129" s="253" t="s">
        <v>159</v>
      </c>
      <c r="E129" s="279">
        <f>0.477*E125</f>
        <v>7.6319999999999997</v>
      </c>
      <c r="F129" s="253">
        <v>0</v>
      </c>
      <c r="G129" s="279">
        <f t="shared" si="10"/>
        <v>7.6319999999999997</v>
      </c>
      <c r="H129" s="249">
        <v>24.98</v>
      </c>
      <c r="I129" s="341">
        <f>G129*H129</f>
        <v>190.64735999999999</v>
      </c>
      <c r="J129" s="341"/>
      <c r="K129" s="318"/>
      <c r="L129" s="276">
        <f>BDI_SERVIÇOS_MATERIAIS!$E$11*I129</f>
        <v>55.579104529332554</v>
      </c>
      <c r="M129" s="344"/>
      <c r="N129" s="253" t="s">
        <v>5</v>
      </c>
      <c r="O129" s="254">
        <v>88248</v>
      </c>
      <c r="P129" s="6"/>
    </row>
    <row r="130" spans="2:16" ht="16.2" thickBot="1">
      <c r="B130" s="289"/>
      <c r="C130" s="336" t="s">
        <v>157</v>
      </c>
      <c r="D130" s="281" t="s">
        <v>159</v>
      </c>
      <c r="E130" s="282">
        <f>0.477*E125</f>
        <v>7.6319999999999997</v>
      </c>
      <c r="F130" s="281">
        <v>0</v>
      </c>
      <c r="G130" s="282">
        <f t="shared" si="10"/>
        <v>7.6319999999999997</v>
      </c>
      <c r="H130" s="283">
        <v>29.06</v>
      </c>
      <c r="I130" s="342">
        <f>G130*H130</f>
        <v>221.78591999999998</v>
      </c>
      <c r="J130" s="342"/>
      <c r="K130" s="321"/>
      <c r="L130" s="327">
        <f>BDI_SERVIÇOS_MATERIAIS!$E$11*I130</f>
        <v>64.6568766061811</v>
      </c>
      <c r="M130" s="345"/>
      <c r="N130" s="281" t="s">
        <v>5</v>
      </c>
      <c r="O130" s="284">
        <v>88267</v>
      </c>
      <c r="P130" s="6"/>
    </row>
    <row r="131" spans="2:16" ht="15.6">
      <c r="B131" s="285" t="s">
        <v>86</v>
      </c>
      <c r="C131" s="286" t="s">
        <v>181</v>
      </c>
      <c r="D131" s="244" t="s">
        <v>7</v>
      </c>
      <c r="E131" s="244">
        <f>6+15+4</f>
        <v>25</v>
      </c>
      <c r="F131" s="244"/>
      <c r="G131" s="244"/>
      <c r="H131" s="287"/>
      <c r="I131" s="288">
        <f>SUM(I132:I134)</f>
        <v>1229.7750000000001</v>
      </c>
      <c r="J131" s="299">
        <f>SUM(J132:J134)</f>
        <v>6384</v>
      </c>
      <c r="K131" s="339">
        <f>J131*BDI_SERVIÇOS_MATERIAIS!$E$11</f>
        <v>1861.1167934098801</v>
      </c>
      <c r="L131" s="316">
        <f>BDI_SERVIÇOS_MATERIAIS!$E$11*I131</f>
        <v>358.51423944480501</v>
      </c>
      <c r="M131" s="346">
        <f>SUM(I131:L131)</f>
        <v>9833.4060328546839</v>
      </c>
      <c r="N131" s="244" t="s">
        <v>5</v>
      </c>
      <c r="O131" s="245">
        <v>72306</v>
      </c>
      <c r="P131" s="6"/>
    </row>
    <row r="132" spans="2:16" ht="15.6">
      <c r="B132" s="233"/>
      <c r="C132" s="335" t="s">
        <v>176</v>
      </c>
      <c r="D132" s="253" t="s">
        <v>7</v>
      </c>
      <c r="E132" s="253">
        <f>E131</f>
        <v>25</v>
      </c>
      <c r="F132" s="253">
        <v>0</v>
      </c>
      <c r="G132" s="253">
        <f t="shared" si="10"/>
        <v>25</v>
      </c>
      <c r="H132" s="249">
        <v>255.36</v>
      </c>
      <c r="I132" s="249"/>
      <c r="J132" s="274">
        <f>G132*H132</f>
        <v>6384</v>
      </c>
      <c r="K132" s="318">
        <f>J132*BDI_SERVIÇOS_MATERIAIS!$E$11</f>
        <v>1861.1167934098801</v>
      </c>
      <c r="L132" s="276">
        <f>BDI_SERVIÇOS_MATERIAIS!$E$11*I132</f>
        <v>0</v>
      </c>
      <c r="M132" s="347"/>
      <c r="N132" s="253" t="s">
        <v>5</v>
      </c>
      <c r="O132" s="254">
        <v>3469</v>
      </c>
      <c r="P132" s="6"/>
    </row>
    <row r="133" spans="2:16" ht="15.6">
      <c r="B133" s="233"/>
      <c r="C133" s="335" t="s">
        <v>157</v>
      </c>
      <c r="D133" s="253" t="s">
        <v>159</v>
      </c>
      <c r="E133" s="253">
        <f>0.95*E131</f>
        <v>23.75</v>
      </c>
      <c r="F133" s="253">
        <v>0</v>
      </c>
      <c r="G133" s="253">
        <f t="shared" si="10"/>
        <v>23.75</v>
      </c>
      <c r="H133" s="249">
        <v>29.06</v>
      </c>
      <c r="I133" s="249">
        <f>G133*H133</f>
        <v>690.17499999999995</v>
      </c>
      <c r="J133" s="274"/>
      <c r="K133" s="318"/>
      <c r="L133" s="276">
        <f>BDI_SERVIÇOS_MATERIAIS!$E$11*I133</f>
        <v>201.20555809706514</v>
      </c>
      <c r="M133" s="347"/>
      <c r="N133" s="253" t="s">
        <v>5</v>
      </c>
      <c r="O133" s="254">
        <v>88267</v>
      </c>
      <c r="P133" s="6"/>
    </row>
    <row r="134" spans="2:16" ht="16.2" thickBot="1">
      <c r="B134" s="233"/>
      <c r="C134" s="336" t="s">
        <v>158</v>
      </c>
      <c r="D134" s="281" t="s">
        <v>159</v>
      </c>
      <c r="E134" s="281">
        <f>0.95*E131</f>
        <v>23.75</v>
      </c>
      <c r="F134" s="281">
        <v>0</v>
      </c>
      <c r="G134" s="281">
        <f t="shared" si="10"/>
        <v>23.75</v>
      </c>
      <c r="H134" s="283">
        <v>22.72</v>
      </c>
      <c r="I134" s="283">
        <f>G134*H134</f>
        <v>539.6</v>
      </c>
      <c r="J134" s="281"/>
      <c r="K134" s="321"/>
      <c r="L134" s="327">
        <f>BDI_SERVIÇOS_MATERIAIS!$E$11*I134</f>
        <v>157.30868134773988</v>
      </c>
      <c r="M134" s="348"/>
      <c r="N134" s="281" t="s">
        <v>5</v>
      </c>
      <c r="O134" s="284">
        <v>88316</v>
      </c>
      <c r="P134" s="6"/>
    </row>
    <row r="135" spans="2:16" ht="46.8">
      <c r="B135" s="285" t="s">
        <v>87</v>
      </c>
      <c r="C135" s="268" t="s">
        <v>218</v>
      </c>
      <c r="D135" s="269" t="s">
        <v>7</v>
      </c>
      <c r="E135" s="269">
        <v>1143</v>
      </c>
      <c r="F135" s="269"/>
      <c r="G135" s="269"/>
      <c r="H135" s="349"/>
      <c r="I135" s="270">
        <f>SUM(I136:I140)</f>
        <v>27857.241720000002</v>
      </c>
      <c r="J135" s="299">
        <f>SUM(J136:J140)</f>
        <v>21419.019899999999</v>
      </c>
      <c r="K135" s="339">
        <f>J135*BDI_SERVIÇOS_MATERIAIS!$E$11</f>
        <v>6244.250882561154</v>
      </c>
      <c r="L135" s="316">
        <f>BDI_SERVIÇOS_MATERIAIS!$E$11*I135</f>
        <v>8121.1748720504911</v>
      </c>
      <c r="M135" s="350">
        <f>SUM(I135:L135)</f>
        <v>63641.687374611647</v>
      </c>
      <c r="N135" s="269" t="s">
        <v>5</v>
      </c>
      <c r="O135" s="311"/>
      <c r="P135" s="6"/>
    </row>
    <row r="136" spans="2:16" ht="30.6">
      <c r="B136" s="233"/>
      <c r="C136" s="273" t="s">
        <v>215</v>
      </c>
      <c r="D136" s="253" t="s">
        <v>7</v>
      </c>
      <c r="E136" s="253">
        <f>E135</f>
        <v>1143</v>
      </c>
      <c r="F136" s="253">
        <v>0</v>
      </c>
      <c r="G136" s="253">
        <f>E136-F136</f>
        <v>1143</v>
      </c>
      <c r="H136" s="249">
        <v>18.52</v>
      </c>
      <c r="I136" s="249"/>
      <c r="J136" s="274">
        <f>G136*H136</f>
        <v>21168.36</v>
      </c>
      <c r="K136" s="318">
        <f>J136*BDI_SERVIÇOS_MATERIAIS!$E$11</f>
        <v>6171.1764230805093</v>
      </c>
      <c r="L136" s="276"/>
      <c r="M136" s="347"/>
      <c r="N136" s="253" t="s">
        <v>5</v>
      </c>
      <c r="O136" s="277">
        <v>3464</v>
      </c>
      <c r="P136" s="6"/>
    </row>
    <row r="137" spans="2:16" ht="15.6">
      <c r="B137" s="233"/>
      <c r="C137" s="335" t="s">
        <v>183</v>
      </c>
      <c r="D137" s="253" t="s">
        <v>7</v>
      </c>
      <c r="E137" s="253">
        <f>0.013*E135</f>
        <v>14.859</v>
      </c>
      <c r="F137" s="253">
        <v>0</v>
      </c>
      <c r="G137" s="253">
        <f t="shared" ref="G137:G139" si="11">E137-F137</f>
        <v>14.859</v>
      </c>
      <c r="H137" s="249">
        <v>7.74</v>
      </c>
      <c r="I137" s="249"/>
      <c r="J137" s="274">
        <f>G137*H137</f>
        <v>115.00866000000001</v>
      </c>
      <c r="K137" s="318">
        <f>J137*BDI_SERVIÇOS_MATERIAIS!$E$11</f>
        <v>33.52828140876678</v>
      </c>
      <c r="L137" s="276"/>
      <c r="M137" s="347"/>
      <c r="N137" s="253" t="s">
        <v>5</v>
      </c>
      <c r="O137" s="254">
        <v>3148</v>
      </c>
      <c r="P137" s="6"/>
    </row>
    <row r="138" spans="2:16" ht="15.6">
      <c r="B138" s="233"/>
      <c r="C138" s="335" t="s">
        <v>184</v>
      </c>
      <c r="D138" s="253" t="s">
        <v>185</v>
      </c>
      <c r="E138" s="253">
        <f>0.003*E135</f>
        <v>3.4290000000000003</v>
      </c>
      <c r="F138" s="253">
        <v>0</v>
      </c>
      <c r="G138" s="253">
        <f t="shared" si="11"/>
        <v>3.4290000000000003</v>
      </c>
      <c r="H138" s="249">
        <v>39.56</v>
      </c>
      <c r="I138" s="249"/>
      <c r="J138" s="274">
        <f>G138*H138</f>
        <v>135.65124000000003</v>
      </c>
      <c r="K138" s="318">
        <f>J138*BDI_SERVIÇOS_MATERIAIS!$E$11</f>
        <v>39.546178071878778</v>
      </c>
      <c r="L138" s="276"/>
      <c r="M138" s="347"/>
      <c r="N138" s="253" t="s">
        <v>5</v>
      </c>
      <c r="O138" s="277">
        <v>7307</v>
      </c>
      <c r="P138" s="6"/>
    </row>
    <row r="139" spans="2:16" ht="30">
      <c r="B139" s="233"/>
      <c r="C139" s="351" t="s">
        <v>180</v>
      </c>
      <c r="D139" s="253" t="s">
        <v>159</v>
      </c>
      <c r="E139" s="279">
        <f>0.451*E135</f>
        <v>515.49300000000005</v>
      </c>
      <c r="F139" s="253">
        <v>0</v>
      </c>
      <c r="G139" s="253">
        <f t="shared" si="11"/>
        <v>515.49300000000005</v>
      </c>
      <c r="H139" s="249">
        <v>24.98</v>
      </c>
      <c r="I139" s="249">
        <f>G139*H139</f>
        <v>12877.015140000001</v>
      </c>
      <c r="J139" s="274"/>
      <c r="K139" s="318"/>
      <c r="L139" s="276">
        <f>BDI_SERVIÇOS_MATERIAIS!$E$11*I139</f>
        <v>3754.0145874134209</v>
      </c>
      <c r="M139" s="352"/>
      <c r="N139" s="253" t="s">
        <v>5</v>
      </c>
      <c r="O139" s="277">
        <v>88248</v>
      </c>
      <c r="P139" s="6"/>
    </row>
    <row r="140" spans="2:16" ht="15.6" thickBot="1">
      <c r="B140" s="233"/>
      <c r="C140" s="353" t="s">
        <v>157</v>
      </c>
      <c r="D140" s="261" t="s">
        <v>159</v>
      </c>
      <c r="E140" s="354">
        <f>0.451*E135</f>
        <v>515.49300000000005</v>
      </c>
      <c r="F140" s="261">
        <v>0</v>
      </c>
      <c r="G140" s="253">
        <f>E140-F140</f>
        <v>515.49300000000005</v>
      </c>
      <c r="H140" s="355">
        <v>29.06</v>
      </c>
      <c r="I140" s="355">
        <f>G140*H140</f>
        <v>14980.22658</v>
      </c>
      <c r="J140" s="295"/>
      <c r="K140" s="321"/>
      <c r="L140" s="321">
        <f>BDI_SERVIÇOS_MATERIAIS!$E$11*I140</f>
        <v>4367.1602846370697</v>
      </c>
      <c r="M140" s="356"/>
      <c r="N140" s="261" t="s">
        <v>5</v>
      </c>
      <c r="O140" s="357">
        <v>88267</v>
      </c>
      <c r="P140" s="6"/>
    </row>
    <row r="141" spans="2:16" ht="46.8">
      <c r="B141" s="358" t="s">
        <v>88</v>
      </c>
      <c r="C141" s="286" t="s">
        <v>217</v>
      </c>
      <c r="D141" s="244" t="s">
        <v>7</v>
      </c>
      <c r="E141" s="244">
        <v>242</v>
      </c>
      <c r="F141" s="244"/>
      <c r="G141" s="244"/>
      <c r="H141" s="287"/>
      <c r="I141" s="288">
        <f>SUM(I142:I146)</f>
        <v>7101.1802399999997</v>
      </c>
      <c r="J141" s="299">
        <f>SUM(J142:J146)</f>
        <v>15544.41504</v>
      </c>
      <c r="K141" s="339">
        <f>J141*BDI_SERVIÇOS_MATERIAIS!$E$11</f>
        <v>4531.6371984143343</v>
      </c>
      <c r="L141" s="359">
        <f>BDI_SERVIÇOS_MATERIAIS!$E$11*I141</f>
        <v>2070.195143749123</v>
      </c>
      <c r="M141" s="346">
        <f>SUM(I141:L141)</f>
        <v>29247.427622163457</v>
      </c>
      <c r="N141" s="244" t="s">
        <v>5</v>
      </c>
      <c r="O141" s="245"/>
      <c r="P141" s="6"/>
    </row>
    <row r="142" spans="2:16" ht="30.6">
      <c r="B142" s="360"/>
      <c r="C142" s="273" t="s">
        <v>216</v>
      </c>
      <c r="D142" s="253" t="s">
        <v>7</v>
      </c>
      <c r="E142" s="253">
        <f>E141</f>
        <v>242</v>
      </c>
      <c r="F142" s="253">
        <v>0</v>
      </c>
      <c r="G142" s="253">
        <f>E142-F142</f>
        <v>242</v>
      </c>
      <c r="H142" s="249">
        <v>63.81</v>
      </c>
      <c r="I142" s="249"/>
      <c r="J142" s="274">
        <f>G142*H142</f>
        <v>15442.02</v>
      </c>
      <c r="K142" s="318">
        <f>J142*BDI_SERVIÇOS_MATERIAIS!$E$11</f>
        <v>4501.7861444503815</v>
      </c>
      <c r="L142" s="276"/>
      <c r="M142" s="352"/>
      <c r="N142" s="253" t="s">
        <v>5</v>
      </c>
      <c r="O142" s="254">
        <v>3467</v>
      </c>
      <c r="P142" s="6"/>
    </row>
    <row r="143" spans="2:16" ht="15.6">
      <c r="B143" s="360"/>
      <c r="C143" s="335" t="s">
        <v>183</v>
      </c>
      <c r="D143" s="253" t="s">
        <v>7</v>
      </c>
      <c r="E143" s="253">
        <f>0.024*E141</f>
        <v>5.8079999999999998</v>
      </c>
      <c r="F143" s="253">
        <v>0</v>
      </c>
      <c r="G143" s="253">
        <f t="shared" ref="G143:G146" si="12">E143-F143</f>
        <v>5.8079999999999998</v>
      </c>
      <c r="H143" s="249">
        <v>7.74</v>
      </c>
      <c r="I143" s="249"/>
      <c r="J143" s="274">
        <f>G143*H143</f>
        <v>44.953919999999997</v>
      </c>
      <c r="K143" s="318">
        <f>J143*BDI_SERVIÇOS_MATERIAIS!$E$11</f>
        <v>13.105340764662323</v>
      </c>
      <c r="L143" s="276"/>
      <c r="M143" s="347"/>
      <c r="N143" s="253" t="s">
        <v>5</v>
      </c>
      <c r="O143" s="254">
        <v>3148</v>
      </c>
      <c r="P143" s="6"/>
    </row>
    <row r="144" spans="2:16" ht="15.6">
      <c r="B144" s="360"/>
      <c r="C144" s="335" t="s">
        <v>184</v>
      </c>
      <c r="D144" s="253" t="s">
        <v>185</v>
      </c>
      <c r="E144" s="253">
        <f>0.006*E141</f>
        <v>1.452</v>
      </c>
      <c r="F144" s="253">
        <v>0</v>
      </c>
      <c r="G144" s="253">
        <f t="shared" si="12"/>
        <v>1.452</v>
      </c>
      <c r="H144" s="249">
        <v>39.56</v>
      </c>
      <c r="I144" s="249"/>
      <c r="J144" s="274">
        <f>G144*H144</f>
        <v>57.441120000000005</v>
      </c>
      <c r="K144" s="318">
        <f>J144*BDI_SERVIÇOS_MATERIAIS!$E$11</f>
        <v>16.745713199290748</v>
      </c>
      <c r="L144" s="276"/>
      <c r="M144" s="347"/>
      <c r="N144" s="253" t="s">
        <v>5</v>
      </c>
      <c r="O144" s="254">
        <v>7307</v>
      </c>
      <c r="P144" s="6"/>
    </row>
    <row r="145" spans="2:16" ht="30">
      <c r="B145" s="360"/>
      <c r="C145" s="351" t="s">
        <v>180</v>
      </c>
      <c r="D145" s="253" t="s">
        <v>159</v>
      </c>
      <c r="E145" s="279">
        <f>0.543*E141</f>
        <v>131.40600000000001</v>
      </c>
      <c r="F145" s="253">
        <v>0</v>
      </c>
      <c r="G145" s="253">
        <f t="shared" si="12"/>
        <v>131.40600000000001</v>
      </c>
      <c r="H145" s="249">
        <v>24.98</v>
      </c>
      <c r="I145" s="249">
        <f>G145*H145</f>
        <v>3282.5218800000002</v>
      </c>
      <c r="J145" s="274"/>
      <c r="K145" s="318"/>
      <c r="L145" s="276">
        <f>BDI_SERVIÇOS_MATERIAIS!$E$11*I145</f>
        <v>956.94808828373607</v>
      </c>
      <c r="M145" s="352"/>
      <c r="N145" s="253" t="s">
        <v>5</v>
      </c>
      <c r="O145" s="254">
        <v>88248</v>
      </c>
      <c r="P145" s="6"/>
    </row>
    <row r="146" spans="2:16" ht="16.2" thickBot="1">
      <c r="B146" s="360"/>
      <c r="C146" s="361" t="s">
        <v>157</v>
      </c>
      <c r="D146" s="281" t="s">
        <v>159</v>
      </c>
      <c r="E146" s="282">
        <f>0.543*E141</f>
        <v>131.40600000000001</v>
      </c>
      <c r="F146" s="281">
        <v>0</v>
      </c>
      <c r="G146" s="253">
        <f t="shared" si="12"/>
        <v>131.40600000000001</v>
      </c>
      <c r="H146" s="283">
        <v>29.06</v>
      </c>
      <c r="I146" s="283">
        <f>G146*H146</f>
        <v>3818.6583599999999</v>
      </c>
      <c r="J146" s="295"/>
      <c r="K146" s="321"/>
      <c r="L146" s="327">
        <f>BDI_SERVIÇOS_MATERIAIS!$E$11*I146</f>
        <v>1113.2470554653871</v>
      </c>
      <c r="M146" s="362"/>
      <c r="N146" s="281" t="s">
        <v>5</v>
      </c>
      <c r="O146" s="284">
        <v>88267</v>
      </c>
      <c r="P146" s="6"/>
    </row>
    <row r="147" spans="2:16" ht="15.6">
      <c r="B147" s="285" t="s">
        <v>89</v>
      </c>
      <c r="C147" s="286" t="s">
        <v>234</v>
      </c>
      <c r="D147" s="244" t="s">
        <v>7</v>
      </c>
      <c r="E147" s="244">
        <f>34+6</f>
        <v>40</v>
      </c>
      <c r="F147" s="244"/>
      <c r="G147" s="244"/>
      <c r="H147" s="287"/>
      <c r="I147" s="288">
        <f>SUM(I148:I152)</f>
        <v>1292.6367999999998</v>
      </c>
      <c r="J147" s="299">
        <f>SUM(J148:J152)</f>
        <v>2572.7647999999999</v>
      </c>
      <c r="K147" s="339">
        <f>J147*BDI_SERVIÇOS_MATERIAIS!$E$11</f>
        <v>750.03379930667472</v>
      </c>
      <c r="L147" s="316">
        <f>BDI_SERVIÇOS_MATERIAIS!$E$11*I147</f>
        <v>376.84023437650501</v>
      </c>
      <c r="M147" s="346">
        <f>SUM(I147:L147)</f>
        <v>4992.275633683179</v>
      </c>
      <c r="N147" s="244"/>
      <c r="O147" s="245"/>
      <c r="P147" s="6"/>
    </row>
    <row r="148" spans="2:16" ht="30.6">
      <c r="B148" s="233"/>
      <c r="C148" s="273" t="s">
        <v>216</v>
      </c>
      <c r="D148" s="253" t="s">
        <v>7</v>
      </c>
      <c r="E148" s="253">
        <f>E147</f>
        <v>40</v>
      </c>
      <c r="F148" s="253">
        <v>0</v>
      </c>
      <c r="G148" s="253">
        <f t="shared" ref="G148:G184" si="13">E148-F148</f>
        <v>40</v>
      </c>
      <c r="H148" s="249">
        <v>63.81</v>
      </c>
      <c r="I148" s="249"/>
      <c r="J148" s="274">
        <f>G148*H148</f>
        <v>2552.4</v>
      </c>
      <c r="K148" s="318">
        <f>J148*BDI_SERVIÇOS_MATERIAIS!$E$11</f>
        <v>744.09688338022841</v>
      </c>
      <c r="L148" s="276"/>
      <c r="M148" s="347"/>
      <c r="N148" s="253" t="s">
        <v>5</v>
      </c>
      <c r="O148" s="254">
        <v>3467</v>
      </c>
      <c r="P148" s="6"/>
    </row>
    <row r="149" spans="2:16" ht="15.6">
      <c r="B149" s="233"/>
      <c r="C149" s="335" t="s">
        <v>183</v>
      </c>
      <c r="D149" s="253" t="s">
        <v>7</v>
      </c>
      <c r="E149" s="253">
        <f>0.03*E148</f>
        <v>1.2</v>
      </c>
      <c r="F149" s="253">
        <v>0</v>
      </c>
      <c r="G149" s="253">
        <f t="shared" si="13"/>
        <v>1.2</v>
      </c>
      <c r="H149" s="249">
        <v>7.74</v>
      </c>
      <c r="I149" s="249"/>
      <c r="J149" s="274">
        <f>G149*H149</f>
        <v>9.2880000000000003</v>
      </c>
      <c r="K149" s="318">
        <f>J149*BDI_SERVIÇOS_MATERIAIS!$E$11</f>
        <v>2.7077150340211413</v>
      </c>
      <c r="L149" s="276"/>
      <c r="M149" s="347"/>
      <c r="N149" s="253" t="s">
        <v>5</v>
      </c>
      <c r="O149" s="254">
        <v>3148</v>
      </c>
      <c r="P149" s="6"/>
    </row>
    <row r="150" spans="2:16" ht="15.6">
      <c r="B150" s="233"/>
      <c r="C150" s="335" t="s">
        <v>184</v>
      </c>
      <c r="D150" s="253" t="s">
        <v>185</v>
      </c>
      <c r="E150" s="279">
        <f>0.007*E147</f>
        <v>0.28000000000000003</v>
      </c>
      <c r="F150" s="253">
        <v>0</v>
      </c>
      <c r="G150" s="253">
        <f t="shared" si="13"/>
        <v>0.28000000000000003</v>
      </c>
      <c r="H150" s="249">
        <v>39.56</v>
      </c>
      <c r="I150" s="249"/>
      <c r="J150" s="274">
        <f>G150*H150</f>
        <v>11.076800000000002</v>
      </c>
      <c r="K150" s="318">
        <f>J150*BDI_SERVIÇOS_MATERIAIS!$E$11</f>
        <v>3.2292008924252134</v>
      </c>
      <c r="L150" s="276"/>
      <c r="M150" s="347"/>
      <c r="N150" s="253" t="s">
        <v>5</v>
      </c>
      <c r="O150" s="254">
        <v>7307</v>
      </c>
      <c r="P150" s="6"/>
    </row>
    <row r="151" spans="2:16" ht="30">
      <c r="B151" s="233"/>
      <c r="C151" s="351" t="s">
        <v>180</v>
      </c>
      <c r="D151" s="253" t="s">
        <v>159</v>
      </c>
      <c r="E151" s="279">
        <f>0.598*E148</f>
        <v>23.919999999999998</v>
      </c>
      <c r="F151" s="253">
        <v>0</v>
      </c>
      <c r="G151" s="253">
        <f t="shared" si="13"/>
        <v>23.919999999999998</v>
      </c>
      <c r="H151" s="249">
        <v>24.98</v>
      </c>
      <c r="I151" s="249">
        <f>G151*H151</f>
        <v>597.52159999999992</v>
      </c>
      <c r="J151" s="253"/>
      <c r="K151" s="318"/>
      <c r="L151" s="276">
        <f>BDI_SERVIÇOS_MATERIAIS!$E$11*I151</f>
        <v>174.19446807411353</v>
      </c>
      <c r="M151" s="347"/>
      <c r="N151" s="253" t="s">
        <v>5</v>
      </c>
      <c r="O151" s="254">
        <v>88248</v>
      </c>
      <c r="P151" s="6"/>
    </row>
    <row r="152" spans="2:16" ht="15.6" thickBot="1">
      <c r="B152" s="233"/>
      <c r="C152" s="353" t="s">
        <v>157</v>
      </c>
      <c r="D152" s="261" t="s">
        <v>159</v>
      </c>
      <c r="E152" s="354">
        <f>0.598*E147</f>
        <v>23.919999999999998</v>
      </c>
      <c r="F152" s="261">
        <v>0</v>
      </c>
      <c r="G152" s="261">
        <f t="shared" si="13"/>
        <v>23.919999999999998</v>
      </c>
      <c r="H152" s="355">
        <v>29.06</v>
      </c>
      <c r="I152" s="355">
        <f>G152*H152</f>
        <v>695.11519999999996</v>
      </c>
      <c r="J152" s="261"/>
      <c r="K152" s="321"/>
      <c r="L152" s="327">
        <f>BDI_SERVIÇOS_MATERIAIS!$E$11*I152</f>
        <v>202.64576630239151</v>
      </c>
      <c r="M152" s="363"/>
      <c r="N152" s="261" t="s">
        <v>5</v>
      </c>
      <c r="O152" s="364">
        <v>88267</v>
      </c>
      <c r="P152" s="6"/>
    </row>
    <row r="153" spans="2:16" ht="15.6">
      <c r="B153" s="365" t="s">
        <v>90</v>
      </c>
      <c r="C153" s="286" t="s">
        <v>235</v>
      </c>
      <c r="D153" s="244" t="s">
        <v>7</v>
      </c>
      <c r="E153" s="244">
        <v>5</v>
      </c>
      <c r="F153" s="244"/>
      <c r="G153" s="244"/>
      <c r="H153" s="287"/>
      <c r="I153" s="288">
        <f>SUM(I154:I159)</f>
        <v>256.69</v>
      </c>
      <c r="J153" s="301">
        <f>SUM(J154:J159)</f>
        <v>2224.2673000000004</v>
      </c>
      <c r="K153" s="339">
        <f>J153*BDI_SERVIÇOS_MATERIAIS!$E$11</f>
        <v>648.43690868772751</v>
      </c>
      <c r="L153" s="316">
        <f>BDI_SERVIÇOS_MATERIAIS!$E$11*I153</f>
        <v>74.832404401688919</v>
      </c>
      <c r="M153" s="346">
        <f>SUM(I153:L153)</f>
        <v>3204.2266130894168</v>
      </c>
      <c r="N153" s="244"/>
      <c r="O153" s="245"/>
      <c r="P153" s="6"/>
    </row>
    <row r="154" spans="2:16" ht="15.6">
      <c r="B154" s="366"/>
      <c r="C154" s="273" t="s">
        <v>429</v>
      </c>
      <c r="D154" s="253" t="s">
        <v>7</v>
      </c>
      <c r="E154" s="253">
        <f>E153</f>
        <v>5</v>
      </c>
      <c r="F154" s="253">
        <v>0</v>
      </c>
      <c r="G154" s="253">
        <f t="shared" si="13"/>
        <v>5</v>
      </c>
      <c r="H154" s="249">
        <v>255.36</v>
      </c>
      <c r="I154" s="249"/>
      <c r="J154" s="274">
        <f>G154*H154</f>
        <v>1276.8000000000002</v>
      </c>
      <c r="K154" s="318">
        <f>J154*BDI_SERVIÇOS_MATERIAIS!$E$11</f>
        <v>372.22335868197604</v>
      </c>
      <c r="L154" s="276"/>
      <c r="M154" s="347"/>
      <c r="N154" s="253" t="s">
        <v>5</v>
      </c>
      <c r="O154" s="254">
        <v>3469</v>
      </c>
      <c r="P154" s="6"/>
    </row>
    <row r="155" spans="2:16" ht="15.6">
      <c r="B155" s="366"/>
      <c r="C155" s="273" t="s">
        <v>172</v>
      </c>
      <c r="D155" s="253" t="s">
        <v>7</v>
      </c>
      <c r="E155" s="253">
        <v>5</v>
      </c>
      <c r="F155" s="253">
        <v>0</v>
      </c>
      <c r="G155" s="253">
        <f>E155-F155</f>
        <v>5</v>
      </c>
      <c r="H155" s="249">
        <v>188.71</v>
      </c>
      <c r="I155" s="249"/>
      <c r="J155" s="274">
        <f>G155*H155</f>
        <v>943.55000000000007</v>
      </c>
      <c r="K155" s="318">
        <f>J155*BDI_SERVIÇOS_MATERIAIS!$E$11</f>
        <v>275.07154611871749</v>
      </c>
      <c r="L155" s="276"/>
      <c r="M155" s="347"/>
      <c r="N155" s="253" t="s">
        <v>5</v>
      </c>
      <c r="O155" s="254">
        <v>3932</v>
      </c>
      <c r="P155" s="6"/>
    </row>
    <row r="156" spans="2:16" ht="15.6">
      <c r="B156" s="366"/>
      <c r="C156" s="335" t="s">
        <v>183</v>
      </c>
      <c r="D156" s="253" t="s">
        <v>7</v>
      </c>
      <c r="E156" s="253">
        <f>0.045*E154</f>
        <v>0.22499999999999998</v>
      </c>
      <c r="F156" s="253">
        <v>0</v>
      </c>
      <c r="G156" s="253">
        <f t="shared" si="13"/>
        <v>0.22499999999999998</v>
      </c>
      <c r="H156" s="249">
        <v>7.74</v>
      </c>
      <c r="I156" s="249"/>
      <c r="J156" s="274">
        <f>G156*H156</f>
        <v>1.7414999999999998</v>
      </c>
      <c r="K156" s="318">
        <f>J156*BDI_SERVIÇOS_MATERIAIS!$E$11</f>
        <v>0.50769656887896397</v>
      </c>
      <c r="L156" s="276"/>
      <c r="M156" s="347"/>
      <c r="N156" s="253" t="s">
        <v>5</v>
      </c>
      <c r="O156" s="254">
        <v>3148</v>
      </c>
      <c r="P156" s="6"/>
    </row>
    <row r="157" spans="2:16" ht="15.6">
      <c r="B157" s="366"/>
      <c r="C157" s="335" t="s">
        <v>184</v>
      </c>
      <c r="D157" s="253" t="s">
        <v>185</v>
      </c>
      <c r="E157" s="279">
        <f>0.011*E153</f>
        <v>5.4999999999999993E-2</v>
      </c>
      <c r="F157" s="253">
        <v>0</v>
      </c>
      <c r="G157" s="253">
        <f t="shared" si="13"/>
        <v>5.4999999999999993E-2</v>
      </c>
      <c r="H157" s="249">
        <v>39.56</v>
      </c>
      <c r="I157" s="249"/>
      <c r="J157" s="274">
        <f>G157*H157</f>
        <v>2.1757999999999997</v>
      </c>
      <c r="K157" s="318">
        <f>J157*BDI_SERVIÇOS_MATERIAIS!$E$11</f>
        <v>0.63430731815495245</v>
      </c>
      <c r="L157" s="276"/>
      <c r="M157" s="347"/>
      <c r="N157" s="253" t="s">
        <v>5</v>
      </c>
      <c r="O157" s="254">
        <v>7307</v>
      </c>
      <c r="P157" s="6"/>
    </row>
    <row r="158" spans="2:16" ht="30">
      <c r="B158" s="366"/>
      <c r="C158" s="351" t="s">
        <v>180</v>
      </c>
      <c r="D158" s="253" t="s">
        <v>159</v>
      </c>
      <c r="E158" s="279">
        <f>0.95*E153</f>
        <v>4.75</v>
      </c>
      <c r="F158" s="253">
        <v>0</v>
      </c>
      <c r="G158" s="253">
        <f t="shared" si="13"/>
        <v>4.75</v>
      </c>
      <c r="H158" s="249">
        <v>24.98</v>
      </c>
      <c r="I158" s="249">
        <f>G158*H158</f>
        <v>118.655</v>
      </c>
      <c r="J158" s="253"/>
      <c r="K158" s="318"/>
      <c r="L158" s="276">
        <f>BDI_SERVIÇOS_MATERIAIS!$E$11*I158</f>
        <v>34.591292782275893</v>
      </c>
      <c r="M158" s="347"/>
      <c r="N158" s="253" t="s">
        <v>5</v>
      </c>
      <c r="O158" s="254">
        <v>88248</v>
      </c>
      <c r="P158" s="6"/>
    </row>
    <row r="159" spans="2:16" ht="15.6" thickBot="1">
      <c r="B159" s="366"/>
      <c r="C159" s="361" t="s">
        <v>157</v>
      </c>
      <c r="D159" s="281" t="s">
        <v>159</v>
      </c>
      <c r="E159" s="282">
        <f>0.95*E153</f>
        <v>4.75</v>
      </c>
      <c r="F159" s="281">
        <v>0</v>
      </c>
      <c r="G159" s="281">
        <f t="shared" si="13"/>
        <v>4.75</v>
      </c>
      <c r="H159" s="283">
        <v>29.06</v>
      </c>
      <c r="I159" s="283">
        <f>G159*H159</f>
        <v>138.035</v>
      </c>
      <c r="J159" s="281"/>
      <c r="K159" s="321"/>
      <c r="L159" s="327">
        <f>BDI_SERVIÇOS_MATERIAIS!$E$11*I159</f>
        <v>40.241111619413033</v>
      </c>
      <c r="M159" s="348"/>
      <c r="N159" s="281" t="s">
        <v>5</v>
      </c>
      <c r="O159" s="284">
        <v>88267</v>
      </c>
      <c r="P159" s="6"/>
    </row>
    <row r="160" spans="2:16" ht="15.6">
      <c r="B160" s="285" t="s">
        <v>91</v>
      </c>
      <c r="C160" s="286" t="s">
        <v>236</v>
      </c>
      <c r="D160" s="244" t="s">
        <v>7</v>
      </c>
      <c r="E160" s="244">
        <v>9</v>
      </c>
      <c r="F160" s="244"/>
      <c r="G160" s="244"/>
      <c r="H160" s="287"/>
      <c r="I160" s="288">
        <f>SUM(I161:I166)</f>
        <v>462.04199999999992</v>
      </c>
      <c r="J160" s="301">
        <f>SUM(J161:J166)</f>
        <v>4003.6811400000001</v>
      </c>
      <c r="K160" s="339">
        <f>J160*BDI_SERVIÇOS_MATERIAIS!$E$11</f>
        <v>1167.1864356379094</v>
      </c>
      <c r="L160" s="316">
        <f>BDI_SERVIÇOS_MATERIAIS!$E$11*I160</f>
        <v>134.69832792304004</v>
      </c>
      <c r="M160" s="346">
        <f>SUM(I160:L160)</f>
        <v>5767.6079035609491</v>
      </c>
      <c r="N160" s="244"/>
      <c r="O160" s="245"/>
      <c r="P160" s="6"/>
    </row>
    <row r="161" spans="2:16" ht="30.6">
      <c r="B161" s="233"/>
      <c r="C161" s="273" t="s">
        <v>219</v>
      </c>
      <c r="D161" s="253" t="s">
        <v>7</v>
      </c>
      <c r="E161" s="253">
        <f>E160</f>
        <v>9</v>
      </c>
      <c r="F161" s="253">
        <v>0</v>
      </c>
      <c r="G161" s="253">
        <f>E161-F161</f>
        <v>9</v>
      </c>
      <c r="H161" s="249">
        <v>255.36</v>
      </c>
      <c r="I161" s="249"/>
      <c r="J161" s="274">
        <f>G161*H161</f>
        <v>2298.2400000000002</v>
      </c>
      <c r="K161" s="318">
        <f>J161*BDI_SERVIÇOS_MATERIAIS!$E$11</f>
        <v>670.00204562755687</v>
      </c>
      <c r="L161" s="276"/>
      <c r="M161" s="347"/>
      <c r="N161" s="253" t="s">
        <v>5</v>
      </c>
      <c r="O161" s="254">
        <v>3469</v>
      </c>
      <c r="P161" s="6"/>
    </row>
    <row r="162" spans="2:16" ht="15.6">
      <c r="B162" s="233"/>
      <c r="C162" s="273" t="s">
        <v>172</v>
      </c>
      <c r="D162" s="253" t="s">
        <v>7</v>
      </c>
      <c r="E162" s="253">
        <v>9</v>
      </c>
      <c r="F162" s="253">
        <v>0</v>
      </c>
      <c r="G162" s="253">
        <f t="shared" si="13"/>
        <v>9</v>
      </c>
      <c r="H162" s="249">
        <v>188.71</v>
      </c>
      <c r="I162" s="249"/>
      <c r="J162" s="274">
        <f>H162*G162</f>
        <v>1698.39</v>
      </c>
      <c r="K162" s="318">
        <f>J162*BDI_SERVIÇOS_MATERIAIS!$E$11</f>
        <v>495.12878301369147</v>
      </c>
      <c r="L162" s="276"/>
      <c r="M162" s="347"/>
      <c r="N162" s="253" t="s">
        <v>5</v>
      </c>
      <c r="O162" s="254">
        <v>3932</v>
      </c>
      <c r="P162" s="6"/>
    </row>
    <row r="163" spans="2:16" ht="15.6">
      <c r="B163" s="233"/>
      <c r="C163" s="335" t="s">
        <v>183</v>
      </c>
      <c r="D163" s="253" t="s">
        <v>7</v>
      </c>
      <c r="E163" s="253">
        <f>0.045*E161</f>
        <v>0.40499999999999997</v>
      </c>
      <c r="F163" s="253">
        <v>0</v>
      </c>
      <c r="G163" s="253">
        <f t="shared" si="13"/>
        <v>0.40499999999999997</v>
      </c>
      <c r="H163" s="249">
        <v>7.74</v>
      </c>
      <c r="I163" s="249"/>
      <c r="J163" s="274">
        <f>G163*H163</f>
        <v>3.1347</v>
      </c>
      <c r="K163" s="318">
        <f>J163*BDI_SERVIÇOS_MATERIAIS!$E$11</f>
        <v>0.91385382398213522</v>
      </c>
      <c r="L163" s="367"/>
      <c r="M163" s="347"/>
      <c r="N163" s="253" t="s">
        <v>5</v>
      </c>
      <c r="O163" s="254">
        <v>3148</v>
      </c>
      <c r="P163" s="6"/>
    </row>
    <row r="164" spans="2:16" ht="15.6">
      <c r="B164" s="233"/>
      <c r="C164" s="335" t="s">
        <v>184</v>
      </c>
      <c r="D164" s="253" t="s">
        <v>185</v>
      </c>
      <c r="E164" s="279">
        <f>0.011*E160</f>
        <v>9.8999999999999991E-2</v>
      </c>
      <c r="F164" s="253">
        <v>0</v>
      </c>
      <c r="G164" s="253">
        <f t="shared" si="13"/>
        <v>9.8999999999999991E-2</v>
      </c>
      <c r="H164" s="249">
        <v>39.56</v>
      </c>
      <c r="I164" s="249"/>
      <c r="J164" s="274">
        <f>G164*H164</f>
        <v>3.9164399999999997</v>
      </c>
      <c r="K164" s="318">
        <f>J164*BDI_SERVIÇOS_MATERIAIS!$E$11</f>
        <v>1.1417531726789145</v>
      </c>
      <c r="L164" s="276"/>
      <c r="M164" s="347"/>
      <c r="N164" s="253" t="s">
        <v>5</v>
      </c>
      <c r="O164" s="254">
        <v>7307</v>
      </c>
      <c r="P164" s="6"/>
    </row>
    <row r="165" spans="2:16" ht="30">
      <c r="B165" s="233"/>
      <c r="C165" s="351" t="s">
        <v>180</v>
      </c>
      <c r="D165" s="253" t="s">
        <v>159</v>
      </c>
      <c r="E165" s="279">
        <f>0.95*E160</f>
        <v>8.5499999999999989</v>
      </c>
      <c r="F165" s="253">
        <v>0</v>
      </c>
      <c r="G165" s="253">
        <f t="shared" si="13"/>
        <v>8.5499999999999989</v>
      </c>
      <c r="H165" s="249">
        <v>24.98</v>
      </c>
      <c r="I165" s="249">
        <f>G165*H165</f>
        <v>213.57899999999998</v>
      </c>
      <c r="J165" s="253"/>
      <c r="K165" s="318"/>
      <c r="L165" s="276">
        <f>BDI_SERVIÇOS_MATERIAIS!$E$11*I165</f>
        <v>62.264327008096608</v>
      </c>
      <c r="M165" s="347"/>
      <c r="N165" s="253" t="s">
        <v>5</v>
      </c>
      <c r="O165" s="254">
        <v>88248</v>
      </c>
      <c r="P165" s="6"/>
    </row>
    <row r="166" spans="2:16" ht="15.6" thickBot="1">
      <c r="B166" s="233"/>
      <c r="C166" s="361" t="s">
        <v>157</v>
      </c>
      <c r="D166" s="281" t="s">
        <v>159</v>
      </c>
      <c r="E166" s="282">
        <f>0.95*E160</f>
        <v>8.5499999999999989</v>
      </c>
      <c r="F166" s="281">
        <v>0</v>
      </c>
      <c r="G166" s="281">
        <f t="shared" si="13"/>
        <v>8.5499999999999989</v>
      </c>
      <c r="H166" s="283">
        <v>29.06</v>
      </c>
      <c r="I166" s="283">
        <f>G166*H166</f>
        <v>248.46299999999997</v>
      </c>
      <c r="J166" s="281"/>
      <c r="K166" s="321"/>
      <c r="L166" s="291">
        <f>BDI_SERVIÇOS_MATERIAIS!$E$11*I166</f>
        <v>72.434000914943439</v>
      </c>
      <c r="M166" s="348"/>
      <c r="N166" s="281" t="s">
        <v>5</v>
      </c>
      <c r="O166" s="284">
        <v>88267</v>
      </c>
      <c r="P166" s="6"/>
    </row>
    <row r="167" spans="2:16" ht="15.6">
      <c r="B167" s="285" t="s">
        <v>92</v>
      </c>
      <c r="C167" s="286" t="s">
        <v>201</v>
      </c>
      <c r="D167" s="244" t="s">
        <v>7</v>
      </c>
      <c r="E167" s="244">
        <v>1126</v>
      </c>
      <c r="F167" s="244"/>
      <c r="G167" s="244"/>
      <c r="H167" s="287"/>
      <c r="I167" s="301">
        <f>SUM(I168:I172)</f>
        <v>36570.27304</v>
      </c>
      <c r="J167" s="301">
        <f>SUM(J168:J172)</f>
        <v>30303.587599999999</v>
      </c>
      <c r="K167" s="329">
        <f>J167*BDI_SERVIÇOS_MATERIAIS!$E$11</f>
        <v>8834.353976022463</v>
      </c>
      <c r="L167" s="338">
        <f>BDI_SERVIÇOS_MATERIAIS!$E$11*I167</f>
        <v>10661.27025287102</v>
      </c>
      <c r="M167" s="346">
        <f>SUM(I167:L167)</f>
        <v>86369.484868893487</v>
      </c>
      <c r="N167" s="244"/>
      <c r="O167" s="245"/>
      <c r="P167" s="6"/>
    </row>
    <row r="168" spans="2:16" ht="15.6">
      <c r="B168" s="233"/>
      <c r="C168" s="335" t="s">
        <v>208</v>
      </c>
      <c r="D168" s="253" t="s">
        <v>7</v>
      </c>
      <c r="E168" s="253">
        <f>E167</f>
        <v>1126</v>
      </c>
      <c r="F168" s="253">
        <v>0</v>
      </c>
      <c r="G168" s="253">
        <f>E168-F168</f>
        <v>1126</v>
      </c>
      <c r="H168" s="249">
        <v>26.56</v>
      </c>
      <c r="I168" s="249"/>
      <c r="J168" s="274">
        <f>G168*H168</f>
        <v>29906.559999999998</v>
      </c>
      <c r="K168" s="318">
        <f>J168*BDI_SERVIÇOS_MATERIAIS!$E$11</f>
        <v>8718.6091868922576</v>
      </c>
      <c r="L168" s="276"/>
      <c r="M168" s="347"/>
      <c r="N168" s="253" t="s">
        <v>5</v>
      </c>
      <c r="O168" s="254">
        <v>6303</v>
      </c>
      <c r="P168" s="6"/>
    </row>
    <row r="169" spans="2:16" ht="15.6">
      <c r="B169" s="233"/>
      <c r="C169" s="335" t="s">
        <v>183</v>
      </c>
      <c r="D169" s="253" t="s">
        <v>7</v>
      </c>
      <c r="E169" s="253">
        <f>0.02*E167</f>
        <v>22.52</v>
      </c>
      <c r="F169" s="253">
        <v>0</v>
      </c>
      <c r="G169" s="253">
        <f>E169-F169</f>
        <v>22.52</v>
      </c>
      <c r="H169" s="249">
        <v>7.74</v>
      </c>
      <c r="I169" s="249"/>
      <c r="J169" s="274">
        <f>G169*H169</f>
        <v>174.3048</v>
      </c>
      <c r="K169" s="318">
        <f>J169*BDI_SERVIÇOS_MATERIAIS!$E$11</f>
        <v>50.814785471796753</v>
      </c>
      <c r="L169" s="276"/>
      <c r="M169" s="347"/>
      <c r="N169" s="253" t="s">
        <v>5</v>
      </c>
      <c r="O169" s="254">
        <v>3148</v>
      </c>
      <c r="P169" s="6"/>
    </row>
    <row r="170" spans="2:16" ht="15.6">
      <c r="B170" s="233"/>
      <c r="C170" s="335" t="s">
        <v>184</v>
      </c>
      <c r="D170" s="253" t="s">
        <v>185</v>
      </c>
      <c r="E170" s="253">
        <f>0.005*E167</f>
        <v>5.63</v>
      </c>
      <c r="F170" s="253">
        <v>0</v>
      </c>
      <c r="G170" s="253">
        <f>E170-F170</f>
        <v>5.63</v>
      </c>
      <c r="H170" s="249">
        <v>39.56</v>
      </c>
      <c r="I170" s="249"/>
      <c r="J170" s="274">
        <f>G170*H170</f>
        <v>222.72280000000001</v>
      </c>
      <c r="K170" s="318">
        <f>J170*BDI_SERVIÇOS_MATERIAIS!$E$11</f>
        <v>64.93000365840696</v>
      </c>
      <c r="L170" s="276"/>
      <c r="M170" s="347"/>
      <c r="N170" s="253" t="s">
        <v>5</v>
      </c>
      <c r="O170" s="254">
        <v>7307</v>
      </c>
      <c r="P170" s="6"/>
    </row>
    <row r="171" spans="2:16" ht="30">
      <c r="B171" s="233"/>
      <c r="C171" s="353" t="s">
        <v>180</v>
      </c>
      <c r="D171" s="261" t="s">
        <v>159</v>
      </c>
      <c r="E171" s="354">
        <f>0.601*E167</f>
        <v>676.726</v>
      </c>
      <c r="F171" s="261">
        <v>0</v>
      </c>
      <c r="G171" s="354">
        <f>E171-F171</f>
        <v>676.726</v>
      </c>
      <c r="H171" s="355">
        <v>24.98</v>
      </c>
      <c r="I171" s="355">
        <f>G171*H171</f>
        <v>16904.61548</v>
      </c>
      <c r="J171" s="368"/>
      <c r="K171" s="369"/>
      <c r="L171" s="370">
        <f>BDI_SERVIÇOS_MATERIAIS!$E$11*I171</f>
        <v>4928.1741472375661</v>
      </c>
      <c r="M171" s="356"/>
      <c r="N171" s="261" t="s">
        <v>5</v>
      </c>
      <c r="O171" s="364">
        <v>88248</v>
      </c>
      <c r="P171" s="6"/>
    </row>
    <row r="172" spans="2:16" ht="15.6" thickBot="1">
      <c r="B172" s="289"/>
      <c r="C172" s="361" t="s">
        <v>157</v>
      </c>
      <c r="D172" s="281" t="s">
        <v>159</v>
      </c>
      <c r="E172" s="282">
        <f>0.601*E167</f>
        <v>676.726</v>
      </c>
      <c r="F172" s="281">
        <v>0</v>
      </c>
      <c r="G172" s="282">
        <f>E172-F172</f>
        <v>676.726</v>
      </c>
      <c r="H172" s="283">
        <v>29.06</v>
      </c>
      <c r="I172" s="283">
        <f>G172*H172</f>
        <v>19665.65756</v>
      </c>
      <c r="J172" s="295"/>
      <c r="K172" s="291"/>
      <c r="L172" s="291">
        <f>BDI_SERVIÇOS_MATERIAIS!$E$11*I172</f>
        <v>5733.0961056334527</v>
      </c>
      <c r="M172" s="295"/>
      <c r="N172" s="281" t="s">
        <v>5</v>
      </c>
      <c r="O172" s="284">
        <v>88267</v>
      </c>
      <c r="P172" s="6"/>
    </row>
    <row r="173" spans="2:16" ht="15.6">
      <c r="B173" s="285" t="s">
        <v>93</v>
      </c>
      <c r="C173" s="286" t="s">
        <v>202</v>
      </c>
      <c r="D173" s="244" t="s">
        <v>7</v>
      </c>
      <c r="E173" s="337">
        <v>1311</v>
      </c>
      <c r="F173" s="244"/>
      <c r="G173" s="337"/>
      <c r="H173" s="287"/>
      <c r="I173" s="288">
        <f>SUM(I174:I178)</f>
        <v>47821.347000000002</v>
      </c>
      <c r="J173" s="301">
        <f>SUM(J174:J178)</f>
        <v>68278.689180000001</v>
      </c>
      <c r="K173" s="329">
        <f>J173*BDI_SERVIÇOS_MATERIAIS!$E$11</f>
        <v>19905.171532724227</v>
      </c>
      <c r="L173" s="338">
        <f>BDI_SERVIÇOS_MATERIAIS!$E$11*I173</f>
        <v>13941.276940034648</v>
      </c>
      <c r="M173" s="346">
        <f>SUM(I173:L173)</f>
        <v>149946.48465275887</v>
      </c>
      <c r="N173" s="244"/>
      <c r="O173" s="245"/>
      <c r="P173" s="6"/>
    </row>
    <row r="174" spans="2:16" ht="15.6">
      <c r="B174" s="233"/>
      <c r="C174" s="273" t="s">
        <v>209</v>
      </c>
      <c r="D174" s="253" t="s">
        <v>7</v>
      </c>
      <c r="E174" s="279">
        <f>E173</f>
        <v>1311</v>
      </c>
      <c r="F174" s="253">
        <v>0</v>
      </c>
      <c r="G174" s="279">
        <f>E174-F174</f>
        <v>1311</v>
      </c>
      <c r="H174" s="249">
        <v>51.58</v>
      </c>
      <c r="I174" s="249"/>
      <c r="J174" s="274">
        <f>G174*H174</f>
        <v>67621.38</v>
      </c>
      <c r="K174" s="318">
        <f>J174*BDI_SERVIÇOS_MATERIAIS!$E$11</f>
        <v>19713.547291909617</v>
      </c>
      <c r="L174" s="276"/>
      <c r="M174" s="347"/>
      <c r="N174" s="253" t="s">
        <v>5</v>
      </c>
      <c r="O174" s="254">
        <v>6304</v>
      </c>
      <c r="P174" s="6"/>
    </row>
    <row r="175" spans="2:16" ht="15.6">
      <c r="B175" s="233"/>
      <c r="C175" s="335" t="s">
        <v>183</v>
      </c>
      <c r="D175" s="253" t="s">
        <v>7</v>
      </c>
      <c r="E175" s="279">
        <f>0.029*E173</f>
        <v>38.019000000000005</v>
      </c>
      <c r="F175" s="253">
        <v>0</v>
      </c>
      <c r="G175" s="279">
        <f>E175-F175</f>
        <v>38.019000000000005</v>
      </c>
      <c r="H175" s="249">
        <v>7.74</v>
      </c>
      <c r="I175" s="249"/>
      <c r="J175" s="274">
        <f>G175*H175</f>
        <v>294.26706000000007</v>
      </c>
      <c r="K175" s="318">
        <f>J175*BDI_SERVIÇOS_MATERIAIS!$E$11</f>
        <v>85.787181565374823</v>
      </c>
      <c r="L175" s="276"/>
      <c r="M175" s="347"/>
      <c r="N175" s="253" t="s">
        <v>5</v>
      </c>
      <c r="O175" s="254">
        <v>3148</v>
      </c>
      <c r="P175" s="6"/>
    </row>
    <row r="176" spans="2:16" ht="15.6">
      <c r="B176" s="233"/>
      <c r="C176" s="335" t="s">
        <v>184</v>
      </c>
      <c r="D176" s="253" t="s">
        <v>185</v>
      </c>
      <c r="E176" s="279">
        <f>0.007*E173</f>
        <v>9.1769999999999996</v>
      </c>
      <c r="F176" s="253">
        <v>0</v>
      </c>
      <c r="G176" s="279">
        <f>E176-F176</f>
        <v>9.1769999999999996</v>
      </c>
      <c r="H176" s="249">
        <v>39.56</v>
      </c>
      <c r="I176" s="249"/>
      <c r="J176" s="274">
        <f>G176*H176</f>
        <v>363.04212000000001</v>
      </c>
      <c r="K176" s="318">
        <f>J176*BDI_SERVIÇOS_MATERIAIS!$E$11</f>
        <v>105.83705924923636</v>
      </c>
      <c r="L176" s="276"/>
      <c r="M176" s="347"/>
      <c r="N176" s="253" t="s">
        <v>5</v>
      </c>
      <c r="O176" s="254">
        <v>7307</v>
      </c>
      <c r="P176" s="6"/>
    </row>
    <row r="177" spans="2:16" ht="30">
      <c r="B177" s="233"/>
      <c r="C177" s="351" t="s">
        <v>180</v>
      </c>
      <c r="D177" s="253" t="s">
        <v>159</v>
      </c>
      <c r="E177" s="279">
        <f>0.675*E173</f>
        <v>884.92500000000007</v>
      </c>
      <c r="F177" s="253">
        <v>0</v>
      </c>
      <c r="G177" s="279">
        <f>E177-F177</f>
        <v>884.92500000000007</v>
      </c>
      <c r="H177" s="249">
        <v>24.98</v>
      </c>
      <c r="I177" s="249">
        <f>G177*H177</f>
        <v>22105.426500000001</v>
      </c>
      <c r="J177" s="274"/>
      <c r="K177" s="318"/>
      <c r="L177" s="276">
        <f>BDI_SERVIÇOS_MATERIAIS!$E$11*I177</f>
        <v>6444.3578453379996</v>
      </c>
      <c r="M177" s="352"/>
      <c r="N177" s="253" t="s">
        <v>5</v>
      </c>
      <c r="O177" s="254">
        <v>88248</v>
      </c>
      <c r="P177" s="6"/>
    </row>
    <row r="178" spans="2:16" ht="15.6" thickBot="1">
      <c r="B178" s="289"/>
      <c r="C178" s="361" t="s">
        <v>157</v>
      </c>
      <c r="D178" s="281" t="s">
        <v>159</v>
      </c>
      <c r="E178" s="282">
        <f>0.675*E173</f>
        <v>884.92500000000007</v>
      </c>
      <c r="F178" s="281">
        <v>0</v>
      </c>
      <c r="G178" s="282">
        <f>E178-F178</f>
        <v>884.92500000000007</v>
      </c>
      <c r="H178" s="283">
        <v>29.06</v>
      </c>
      <c r="I178" s="283">
        <f>G178*H178</f>
        <v>25715.9205</v>
      </c>
      <c r="J178" s="295"/>
      <c r="K178" s="321"/>
      <c r="L178" s="291">
        <f>BDI_SERVIÇOS_MATERIAIS!$E$11*I178</f>
        <v>7496.9190946966473</v>
      </c>
      <c r="M178" s="362"/>
      <c r="N178" s="281" t="s">
        <v>5</v>
      </c>
      <c r="O178" s="284">
        <v>88267</v>
      </c>
      <c r="P178" s="6"/>
    </row>
    <row r="179" spans="2:16" ht="15.6">
      <c r="B179" s="285" t="s">
        <v>94</v>
      </c>
      <c r="C179" s="286" t="s">
        <v>203</v>
      </c>
      <c r="D179" s="244" t="s">
        <v>7</v>
      </c>
      <c r="E179" s="244">
        <v>663</v>
      </c>
      <c r="F179" s="244"/>
      <c r="G179" s="337"/>
      <c r="H179" s="287"/>
      <c r="I179" s="288">
        <f>SUM(I180:I184)</f>
        <v>25939.848480000001</v>
      </c>
      <c r="J179" s="301">
        <f>SUM(J180:J184)</f>
        <v>51376.784939999998</v>
      </c>
      <c r="K179" s="339">
        <f>J179*BDI_SERVIÇOS_MATERIAIS!$E$11</f>
        <v>14977.787788728354</v>
      </c>
      <c r="L179" s="314">
        <f>BDI_SERVIÇOS_MATERIAIS!$E$11*I179</f>
        <v>7562.2004424554752</v>
      </c>
      <c r="M179" s="346">
        <f>SUM(I179:L179)</f>
        <v>99856.621651183828</v>
      </c>
      <c r="N179" s="244"/>
      <c r="O179" s="245"/>
      <c r="P179" s="6"/>
    </row>
    <row r="180" spans="2:16" ht="15.6">
      <c r="B180" s="233"/>
      <c r="C180" s="335" t="s">
        <v>210</v>
      </c>
      <c r="D180" s="253" t="s">
        <v>7</v>
      </c>
      <c r="E180" s="253">
        <f>E179</f>
        <v>663</v>
      </c>
      <c r="F180" s="253">
        <v>0</v>
      </c>
      <c r="G180" s="279">
        <f>E180-F180</f>
        <v>663</v>
      </c>
      <c r="H180" s="249">
        <v>76.989999999999995</v>
      </c>
      <c r="I180" s="249"/>
      <c r="J180" s="274">
        <f>G180*H180</f>
        <v>51044.369999999995</v>
      </c>
      <c r="K180" s="318">
        <f>J180*BDI_SERVIÇOS_MATERIAIS!$E$11</f>
        <v>14880.879419803801</v>
      </c>
      <c r="L180" s="276"/>
      <c r="M180" s="347"/>
      <c r="N180" s="253" t="s">
        <v>5</v>
      </c>
      <c r="O180" s="254">
        <v>6305</v>
      </c>
      <c r="P180" s="6"/>
    </row>
    <row r="181" spans="2:16" ht="15.6">
      <c r="B181" s="233"/>
      <c r="C181" s="335" t="s">
        <v>183</v>
      </c>
      <c r="D181" s="253" t="s">
        <v>7</v>
      </c>
      <c r="E181" s="279">
        <f>0.029*E179</f>
        <v>19.227</v>
      </c>
      <c r="F181" s="253">
        <v>0</v>
      </c>
      <c r="G181" s="279">
        <f t="shared" si="13"/>
        <v>19.227</v>
      </c>
      <c r="H181" s="249">
        <v>7.74</v>
      </c>
      <c r="I181" s="249"/>
      <c r="J181" s="274">
        <f>G181*H181</f>
        <v>148.81698</v>
      </c>
      <c r="K181" s="318">
        <f>J181*BDI_SERVIÇOS_MATERIAIS!$E$11</f>
        <v>43.384364132603736</v>
      </c>
      <c r="L181" s="276"/>
      <c r="M181" s="347"/>
      <c r="N181" s="253" t="s">
        <v>5</v>
      </c>
      <c r="O181" s="254">
        <v>3148</v>
      </c>
      <c r="P181" s="6"/>
    </row>
    <row r="182" spans="2:16" ht="15.6">
      <c r="B182" s="233"/>
      <c r="C182" s="335" t="s">
        <v>184</v>
      </c>
      <c r="D182" s="253" t="s">
        <v>185</v>
      </c>
      <c r="E182" s="279">
        <f>0.007*E179</f>
        <v>4.641</v>
      </c>
      <c r="F182" s="253">
        <v>0</v>
      </c>
      <c r="G182" s="279">
        <f t="shared" si="13"/>
        <v>4.641</v>
      </c>
      <c r="H182" s="249">
        <v>39.56</v>
      </c>
      <c r="I182" s="249"/>
      <c r="J182" s="274">
        <f>G182*H182</f>
        <v>183.59796</v>
      </c>
      <c r="K182" s="318">
        <f>J182*BDI_SERVIÇOS_MATERIAIS!$E$11</f>
        <v>53.524004791947903</v>
      </c>
      <c r="L182" s="276"/>
      <c r="M182" s="347"/>
      <c r="N182" s="253" t="s">
        <v>5</v>
      </c>
      <c r="O182" s="254">
        <v>7307</v>
      </c>
      <c r="P182" s="6"/>
    </row>
    <row r="183" spans="2:16" ht="30">
      <c r="B183" s="233"/>
      <c r="C183" s="351" t="s">
        <v>180</v>
      </c>
      <c r="D183" s="253" t="s">
        <v>159</v>
      </c>
      <c r="E183" s="279">
        <f>0.724*E179</f>
        <v>480.012</v>
      </c>
      <c r="F183" s="253">
        <v>0</v>
      </c>
      <c r="G183" s="279">
        <f t="shared" si="13"/>
        <v>480.012</v>
      </c>
      <c r="H183" s="249">
        <v>24.98</v>
      </c>
      <c r="I183" s="249">
        <f>G183*H183</f>
        <v>11990.69976</v>
      </c>
      <c r="J183" s="274"/>
      <c r="K183" s="318"/>
      <c r="L183" s="276">
        <f>BDI_SERVIÇOS_MATERIAIS!$E$11*I183</f>
        <v>3495.6285538959614</v>
      </c>
      <c r="M183" s="352"/>
      <c r="N183" s="253" t="s">
        <v>5</v>
      </c>
      <c r="O183" s="254">
        <v>88248</v>
      </c>
      <c r="P183" s="6"/>
    </row>
    <row r="184" spans="2:16" ht="15.6" thickBot="1">
      <c r="B184" s="233"/>
      <c r="C184" s="361" t="s">
        <v>157</v>
      </c>
      <c r="D184" s="281" t="s">
        <v>159</v>
      </c>
      <c r="E184" s="282">
        <f>0.724*E179</f>
        <v>480.012</v>
      </c>
      <c r="F184" s="281">
        <v>0</v>
      </c>
      <c r="G184" s="282">
        <f t="shared" si="13"/>
        <v>480.012</v>
      </c>
      <c r="H184" s="283">
        <v>29.06</v>
      </c>
      <c r="I184" s="283">
        <f>G184*H184</f>
        <v>13949.148719999999</v>
      </c>
      <c r="J184" s="295"/>
      <c r="K184" s="321"/>
      <c r="L184" s="291">
        <f>BDI_SERVIÇOS_MATERIAIS!$E$11*I184</f>
        <v>4066.5718885595129</v>
      </c>
      <c r="M184" s="362"/>
      <c r="N184" s="281" t="s">
        <v>5</v>
      </c>
      <c r="O184" s="284">
        <v>88267</v>
      </c>
      <c r="P184" s="6"/>
    </row>
    <row r="185" spans="2:16" ht="15.6">
      <c r="B185" s="285" t="s">
        <v>95</v>
      </c>
      <c r="C185" s="286" t="s">
        <v>204</v>
      </c>
      <c r="D185" s="244" t="s">
        <v>7</v>
      </c>
      <c r="E185" s="244">
        <v>31</v>
      </c>
      <c r="F185" s="244"/>
      <c r="G185" s="337"/>
      <c r="H185" s="287"/>
      <c r="I185" s="288">
        <f>SUM(I186:I190)</f>
        <v>1335.1662799999999</v>
      </c>
      <c r="J185" s="288">
        <f>SUM(J186:J190)</f>
        <v>4448.9172600000002</v>
      </c>
      <c r="K185" s="339">
        <f>J185*BDI_SERVIÇOS_MATERIAIS!$E$11</f>
        <v>1296.9853736022978</v>
      </c>
      <c r="L185" s="367">
        <f>BDI_SERVIÇOS_MATERIAIS!$E$11*I185</f>
        <v>389.23878222158487</v>
      </c>
      <c r="M185" s="346">
        <f>SUM(I185:L185)</f>
        <v>7470.3076958238826</v>
      </c>
      <c r="N185" s="244"/>
      <c r="O185" s="245"/>
      <c r="P185" s="6"/>
    </row>
    <row r="186" spans="2:16" ht="15.6">
      <c r="B186" s="233"/>
      <c r="C186" s="273" t="s">
        <v>211</v>
      </c>
      <c r="D186" s="253" t="s">
        <v>7</v>
      </c>
      <c r="E186" s="253">
        <f>E185</f>
        <v>31</v>
      </c>
      <c r="F186" s="253">
        <v>0</v>
      </c>
      <c r="G186" s="279">
        <f t="shared" ref="G186:G192" si="14">E186-F186</f>
        <v>31</v>
      </c>
      <c r="H186" s="249">
        <v>142.72999999999999</v>
      </c>
      <c r="I186" s="249"/>
      <c r="J186" s="274">
        <f>G186*H186</f>
        <v>4424.63</v>
      </c>
      <c r="K186" s="318">
        <f>J186*BDI_SERVIÇOS_MATERIAIS!$E$11</f>
        <v>1289.9049495026875</v>
      </c>
      <c r="L186" s="276"/>
      <c r="M186" s="347"/>
      <c r="N186" s="253" t="s">
        <v>5</v>
      </c>
      <c r="O186" s="254">
        <v>6307</v>
      </c>
      <c r="P186" s="6"/>
    </row>
    <row r="187" spans="2:16" ht="15.6">
      <c r="B187" s="233"/>
      <c r="C187" s="335" t="s">
        <v>183</v>
      </c>
      <c r="D187" s="253" t="s">
        <v>7</v>
      </c>
      <c r="E187" s="279">
        <f>0.045*E185</f>
        <v>1.395</v>
      </c>
      <c r="F187" s="253">
        <v>0</v>
      </c>
      <c r="G187" s="279">
        <f t="shared" si="14"/>
        <v>1.395</v>
      </c>
      <c r="H187" s="249">
        <v>7.74</v>
      </c>
      <c r="I187" s="249"/>
      <c r="J187" s="274">
        <f>G187*H187</f>
        <v>10.7973</v>
      </c>
      <c r="K187" s="318">
        <f>J187*BDI_SERVIÇOS_MATERIAIS!$E$11</f>
        <v>3.1477187270495768</v>
      </c>
      <c r="L187" s="276"/>
      <c r="M187" s="347"/>
      <c r="N187" s="253" t="s">
        <v>5</v>
      </c>
      <c r="O187" s="254">
        <v>3148</v>
      </c>
      <c r="P187" s="6"/>
    </row>
    <row r="188" spans="2:16" ht="15.6">
      <c r="B188" s="233"/>
      <c r="C188" s="335" t="s">
        <v>184</v>
      </c>
      <c r="D188" s="253" t="s">
        <v>185</v>
      </c>
      <c r="E188" s="279">
        <f>0.011*E185</f>
        <v>0.34099999999999997</v>
      </c>
      <c r="F188" s="253">
        <v>0</v>
      </c>
      <c r="G188" s="279">
        <f t="shared" si="14"/>
        <v>0.34099999999999997</v>
      </c>
      <c r="H188" s="249">
        <v>39.56</v>
      </c>
      <c r="I188" s="249"/>
      <c r="J188" s="274">
        <f>G188*H188</f>
        <v>13.48996</v>
      </c>
      <c r="K188" s="318">
        <f>J188*BDI_SERVIÇOS_MATERIAIS!$E$11</f>
        <v>3.9327053725607057</v>
      </c>
      <c r="L188" s="276"/>
      <c r="M188" s="347"/>
      <c r="N188" s="253" t="s">
        <v>5</v>
      </c>
      <c r="O188" s="254">
        <v>7307</v>
      </c>
      <c r="P188" s="6"/>
    </row>
    <row r="189" spans="2:16" ht="30">
      <c r="B189" s="233"/>
      <c r="C189" s="351" t="s">
        <v>180</v>
      </c>
      <c r="D189" s="253" t="s">
        <v>159</v>
      </c>
      <c r="E189" s="279">
        <f>0.797*E185</f>
        <v>24.707000000000001</v>
      </c>
      <c r="F189" s="253">
        <v>0</v>
      </c>
      <c r="G189" s="279">
        <f t="shared" si="14"/>
        <v>24.707000000000001</v>
      </c>
      <c r="H189" s="249">
        <v>24.98</v>
      </c>
      <c r="I189" s="249">
        <f>G189*H189</f>
        <v>617.18086000000005</v>
      </c>
      <c r="J189" s="274"/>
      <c r="K189" s="318"/>
      <c r="L189" s="276">
        <f>BDI_SERVIÇOS_MATERIAIS!$E$11*I189</f>
        <v>179.92569910982959</v>
      </c>
      <c r="M189" s="352"/>
      <c r="N189" s="253" t="s">
        <v>5</v>
      </c>
      <c r="O189" s="254">
        <v>88248</v>
      </c>
      <c r="P189" s="6"/>
    </row>
    <row r="190" spans="2:16" ht="15.6" thickBot="1">
      <c r="B190" s="233"/>
      <c r="C190" s="361" t="s">
        <v>157</v>
      </c>
      <c r="D190" s="281" t="s">
        <v>159</v>
      </c>
      <c r="E190" s="282">
        <f>0.797*E185</f>
        <v>24.707000000000001</v>
      </c>
      <c r="F190" s="281">
        <v>0</v>
      </c>
      <c r="G190" s="282">
        <f t="shared" si="14"/>
        <v>24.707000000000001</v>
      </c>
      <c r="H190" s="283">
        <v>29.06</v>
      </c>
      <c r="I190" s="283">
        <f>G190*H190</f>
        <v>717.98541999999998</v>
      </c>
      <c r="J190" s="295"/>
      <c r="K190" s="321"/>
      <c r="L190" s="291">
        <f>BDI_SERVIÇOS_MATERIAIS!$E$11*I190</f>
        <v>209.3130831117553</v>
      </c>
      <c r="M190" s="362"/>
      <c r="N190" s="281" t="s">
        <v>5</v>
      </c>
      <c r="O190" s="284">
        <v>88267</v>
      </c>
      <c r="P190" s="6"/>
    </row>
    <row r="191" spans="2:16" ht="15.6">
      <c r="B191" s="285" t="s">
        <v>96</v>
      </c>
      <c r="C191" s="286" t="s">
        <v>207</v>
      </c>
      <c r="D191" s="244" t="s">
        <v>7</v>
      </c>
      <c r="E191" s="337">
        <f>101+34</f>
        <v>135</v>
      </c>
      <c r="F191" s="244"/>
      <c r="G191" s="337"/>
      <c r="H191" s="287"/>
      <c r="I191" s="288">
        <f>SUM(I192:I196)</f>
        <v>5814.4337999999998</v>
      </c>
      <c r="J191" s="301">
        <f>SUM(J192:J196)</f>
        <v>19934.567099999997</v>
      </c>
      <c r="K191" s="339">
        <f>J191*BDI_SERVIÇOS_MATERIAIS!$E$11</f>
        <v>5811.4908519996998</v>
      </c>
      <c r="L191" s="367">
        <f>BDI_SERVIÇOS_MATERIAIS!$E$11*I191</f>
        <v>1695.0721161262568</v>
      </c>
      <c r="M191" s="346">
        <f>SUM(I191:L191)</f>
        <v>33255.563868125952</v>
      </c>
      <c r="N191" s="244"/>
      <c r="O191" s="245"/>
      <c r="P191" s="6"/>
    </row>
    <row r="192" spans="2:16" ht="15.6">
      <c r="B192" s="233"/>
      <c r="C192" s="273" t="s">
        <v>214</v>
      </c>
      <c r="D192" s="253" t="s">
        <v>7</v>
      </c>
      <c r="E192" s="279">
        <f>E191</f>
        <v>135</v>
      </c>
      <c r="F192" s="253">
        <v>0</v>
      </c>
      <c r="G192" s="279">
        <f t="shared" si="14"/>
        <v>135</v>
      </c>
      <c r="H192" s="249">
        <v>146.88</v>
      </c>
      <c r="I192" s="249"/>
      <c r="J192" s="274">
        <f>G192*H192</f>
        <v>19828.8</v>
      </c>
      <c r="K192" s="318">
        <f>J192*BDI_SERVIÇOS_MATERIAIS!$E$11</f>
        <v>5780.6567470497848</v>
      </c>
      <c r="L192" s="276"/>
      <c r="M192" s="352"/>
      <c r="N192" s="253" t="s">
        <v>5</v>
      </c>
      <c r="O192" s="254">
        <v>6309</v>
      </c>
      <c r="P192" s="6"/>
    </row>
    <row r="193" spans="2:16" ht="15.6">
      <c r="B193" s="233"/>
      <c r="C193" s="335" t="s">
        <v>183</v>
      </c>
      <c r="D193" s="253" t="s">
        <v>7</v>
      </c>
      <c r="E193" s="279">
        <f>0.045*E191</f>
        <v>6.0750000000000002</v>
      </c>
      <c r="F193" s="253">
        <v>0</v>
      </c>
      <c r="G193" s="279">
        <f t="shared" ref="G193:G208" si="15">E193-F193</f>
        <v>6.0750000000000002</v>
      </c>
      <c r="H193" s="249">
        <v>7.74</v>
      </c>
      <c r="I193" s="249"/>
      <c r="J193" s="274">
        <f>G193*H193</f>
        <v>47.020500000000006</v>
      </c>
      <c r="K193" s="318">
        <f>J193*BDI_SERVIÇOS_MATERIAIS!$E$11</f>
        <v>13.70780735973203</v>
      </c>
      <c r="L193" s="276"/>
      <c r="M193" s="347"/>
      <c r="N193" s="253" t="s">
        <v>5</v>
      </c>
      <c r="O193" s="254">
        <v>3148</v>
      </c>
      <c r="P193" s="6"/>
    </row>
    <row r="194" spans="2:16" ht="15.6">
      <c r="B194" s="233"/>
      <c r="C194" s="335" t="s">
        <v>184</v>
      </c>
      <c r="D194" s="253" t="s">
        <v>185</v>
      </c>
      <c r="E194" s="279">
        <f>0.011*E191</f>
        <v>1.4849999999999999</v>
      </c>
      <c r="F194" s="253">
        <v>0</v>
      </c>
      <c r="G194" s="279">
        <f t="shared" si="15"/>
        <v>1.4849999999999999</v>
      </c>
      <c r="H194" s="249">
        <v>39.56</v>
      </c>
      <c r="I194" s="249"/>
      <c r="J194" s="274">
        <f>G194*H194</f>
        <v>58.746600000000001</v>
      </c>
      <c r="K194" s="318">
        <f>J194*BDI_SERVIÇOS_MATERIAIS!$E$11</f>
        <v>17.126297590183718</v>
      </c>
      <c r="L194" s="276"/>
      <c r="M194" s="347"/>
      <c r="N194" s="253" t="s">
        <v>5</v>
      </c>
      <c r="O194" s="254">
        <v>7307</v>
      </c>
      <c r="P194" s="6"/>
    </row>
    <row r="195" spans="2:16" ht="30">
      <c r="B195" s="233"/>
      <c r="C195" s="351" t="s">
        <v>180</v>
      </c>
      <c r="D195" s="253" t="s">
        <v>159</v>
      </c>
      <c r="E195" s="279">
        <f>0.797*E191</f>
        <v>107.595</v>
      </c>
      <c r="F195" s="253">
        <v>0</v>
      </c>
      <c r="G195" s="279">
        <f t="shared" si="15"/>
        <v>107.595</v>
      </c>
      <c r="H195" s="249">
        <v>24.98</v>
      </c>
      <c r="I195" s="249">
        <f>G195*H195</f>
        <v>2687.7231000000002</v>
      </c>
      <c r="J195" s="274"/>
      <c r="K195" s="318"/>
      <c r="L195" s="276">
        <f>BDI_SERVIÇOS_MATERIAIS!$E$11*I195</f>
        <v>783.54739934925794</v>
      </c>
      <c r="M195" s="352"/>
      <c r="N195" s="253" t="s">
        <v>5</v>
      </c>
      <c r="O195" s="254">
        <v>88248</v>
      </c>
      <c r="P195" s="6"/>
    </row>
    <row r="196" spans="2:16" ht="15.6" thickBot="1">
      <c r="B196" s="233"/>
      <c r="C196" s="361" t="s">
        <v>157</v>
      </c>
      <c r="D196" s="281" t="s">
        <v>159</v>
      </c>
      <c r="E196" s="282">
        <f>0.797*E191</f>
        <v>107.595</v>
      </c>
      <c r="F196" s="281">
        <v>0</v>
      </c>
      <c r="G196" s="282">
        <f t="shared" si="15"/>
        <v>107.595</v>
      </c>
      <c r="H196" s="283">
        <v>29.06</v>
      </c>
      <c r="I196" s="283">
        <f>G196*H196</f>
        <v>3126.7106999999996</v>
      </c>
      <c r="J196" s="295"/>
      <c r="K196" s="321"/>
      <c r="L196" s="291">
        <f>BDI_SERVIÇOS_MATERIAIS!$E$11*I196</f>
        <v>911.52471677699884</v>
      </c>
      <c r="M196" s="362"/>
      <c r="N196" s="281" t="s">
        <v>5</v>
      </c>
      <c r="O196" s="284">
        <v>88267</v>
      </c>
      <c r="P196" s="6"/>
    </row>
    <row r="197" spans="2:16" ht="15.6">
      <c r="B197" s="285" t="s">
        <v>97</v>
      </c>
      <c r="C197" s="286" t="s">
        <v>205</v>
      </c>
      <c r="D197" s="244" t="s">
        <v>7</v>
      </c>
      <c r="E197" s="244">
        <f>65+37+28</f>
        <v>130</v>
      </c>
      <c r="F197" s="244"/>
      <c r="G197" s="244"/>
      <c r="H197" s="287"/>
      <c r="I197" s="288">
        <f>SUM(I198:I202)</f>
        <v>5599.0843999999997</v>
      </c>
      <c r="J197" s="288">
        <f>SUM(J198:J202)</f>
        <v>50638.049800000008</v>
      </c>
      <c r="K197" s="339">
        <f>J197*BDI_SERVIÇOS_MATERIAIS!$E$11</f>
        <v>14762.425574609309</v>
      </c>
      <c r="L197" s="314">
        <f>BDI_SERVIÇOS_MATERIAIS!$E$11*I197</f>
        <v>1632.2916673808397</v>
      </c>
      <c r="M197" s="346">
        <f>SUM(I197:L197)</f>
        <v>72631.851441990148</v>
      </c>
      <c r="N197" s="244"/>
      <c r="O197" s="245"/>
      <c r="P197" s="6"/>
    </row>
    <row r="198" spans="2:16" ht="15.6">
      <c r="B198" s="233"/>
      <c r="C198" s="335" t="s">
        <v>212</v>
      </c>
      <c r="D198" s="253" t="s">
        <v>7</v>
      </c>
      <c r="E198" s="253">
        <f>E197</f>
        <v>130</v>
      </c>
      <c r="F198" s="253">
        <v>0</v>
      </c>
      <c r="G198" s="253">
        <f t="shared" si="15"/>
        <v>130</v>
      </c>
      <c r="H198" s="249">
        <v>388.74</v>
      </c>
      <c r="I198" s="249"/>
      <c r="J198" s="274">
        <f>G198*H198</f>
        <v>50536.200000000004</v>
      </c>
      <c r="K198" s="318">
        <f>J198*BDI_SERVIÇOS_MATERIAIS!$E$11</f>
        <v>14732.733473546426</v>
      </c>
      <c r="L198" s="276"/>
      <c r="M198" s="347"/>
      <c r="N198" s="253" t="s">
        <v>5</v>
      </c>
      <c r="O198" s="254">
        <v>6315</v>
      </c>
      <c r="P198" s="6"/>
    </row>
    <row r="199" spans="2:16" ht="15.6">
      <c r="B199" s="233"/>
      <c r="C199" s="335" t="s">
        <v>183</v>
      </c>
      <c r="D199" s="253" t="s">
        <v>7</v>
      </c>
      <c r="E199" s="279">
        <f>0.045*E197</f>
        <v>5.85</v>
      </c>
      <c r="F199" s="253">
        <v>0</v>
      </c>
      <c r="G199" s="279">
        <f t="shared" si="15"/>
        <v>5.85</v>
      </c>
      <c r="H199" s="249">
        <v>7.74</v>
      </c>
      <c r="I199" s="249"/>
      <c r="J199" s="274">
        <f>G199*H199</f>
        <v>45.278999999999996</v>
      </c>
      <c r="K199" s="318">
        <f>J199*BDI_SERVIÇOS_MATERIAIS!$E$11</f>
        <v>13.200110790853062</v>
      </c>
      <c r="L199" s="276"/>
      <c r="M199" s="347"/>
      <c r="N199" s="253" t="s">
        <v>5</v>
      </c>
      <c r="O199" s="254">
        <v>3143</v>
      </c>
      <c r="P199" s="6"/>
    </row>
    <row r="200" spans="2:16" ht="15.6">
      <c r="B200" s="233"/>
      <c r="C200" s="335" t="s">
        <v>184</v>
      </c>
      <c r="D200" s="253" t="s">
        <v>185</v>
      </c>
      <c r="E200" s="279">
        <f>0.011*E197</f>
        <v>1.43</v>
      </c>
      <c r="F200" s="253">
        <v>0</v>
      </c>
      <c r="G200" s="279">
        <f t="shared" si="15"/>
        <v>1.43</v>
      </c>
      <c r="H200" s="249">
        <v>39.56</v>
      </c>
      <c r="I200" s="249"/>
      <c r="J200" s="274">
        <f>G200*H200</f>
        <v>56.570799999999998</v>
      </c>
      <c r="K200" s="318">
        <f>J200*BDI_SERVIÇOS_MATERIAIS!$E$11</f>
        <v>16.491990272028765</v>
      </c>
      <c r="L200" s="276"/>
      <c r="M200" s="347"/>
      <c r="N200" s="253" t="s">
        <v>5</v>
      </c>
      <c r="O200" s="254">
        <v>7307</v>
      </c>
      <c r="P200" s="6"/>
    </row>
    <row r="201" spans="2:16" ht="30">
      <c r="B201" s="233"/>
      <c r="C201" s="351" t="s">
        <v>180</v>
      </c>
      <c r="D201" s="253" t="s">
        <v>159</v>
      </c>
      <c r="E201" s="279">
        <f>0.797*E197</f>
        <v>103.61</v>
      </c>
      <c r="F201" s="253">
        <v>0</v>
      </c>
      <c r="G201" s="279">
        <f t="shared" si="15"/>
        <v>103.61</v>
      </c>
      <c r="H201" s="249">
        <v>24.98</v>
      </c>
      <c r="I201" s="249">
        <f>G201*H201</f>
        <v>2588.1777999999999</v>
      </c>
      <c r="J201" s="274"/>
      <c r="K201" s="318"/>
      <c r="L201" s="276">
        <f>BDI_SERVIÇOS_MATERIAIS!$E$11*I201</f>
        <v>754.52712529928533</v>
      </c>
      <c r="M201" s="352"/>
      <c r="N201" s="253" t="s">
        <v>5</v>
      </c>
      <c r="O201" s="254">
        <v>88248</v>
      </c>
      <c r="P201" s="6"/>
    </row>
    <row r="202" spans="2:16" ht="15.6" thickBot="1">
      <c r="B202" s="233"/>
      <c r="C202" s="361" t="s">
        <v>157</v>
      </c>
      <c r="D202" s="281" t="s">
        <v>159</v>
      </c>
      <c r="E202" s="282">
        <f>0.797*E197</f>
        <v>103.61</v>
      </c>
      <c r="F202" s="281">
        <v>0</v>
      </c>
      <c r="G202" s="282">
        <f t="shared" si="15"/>
        <v>103.61</v>
      </c>
      <c r="H202" s="283">
        <v>29.06</v>
      </c>
      <c r="I202" s="283">
        <f>G202*H202</f>
        <v>3010.9065999999998</v>
      </c>
      <c r="J202" s="295"/>
      <c r="K202" s="321"/>
      <c r="L202" s="291">
        <f>BDI_SERVIÇOS_MATERIAIS!$E$11*I202</f>
        <v>877.76454208155451</v>
      </c>
      <c r="M202" s="362"/>
      <c r="N202" s="281" t="s">
        <v>5</v>
      </c>
      <c r="O202" s="284">
        <v>88267</v>
      </c>
      <c r="P202" s="6"/>
    </row>
    <row r="203" spans="2:16" ht="15.6">
      <c r="B203" s="285" t="s">
        <v>98</v>
      </c>
      <c r="C203" s="286" t="s">
        <v>206</v>
      </c>
      <c r="D203" s="244" t="s">
        <v>7</v>
      </c>
      <c r="E203" s="244">
        <v>31</v>
      </c>
      <c r="F203" s="244"/>
      <c r="G203" s="244"/>
      <c r="H203" s="287"/>
      <c r="I203" s="288">
        <f>SUM(I204:I206)</f>
        <v>1842.7640000000001</v>
      </c>
      <c r="J203" s="288">
        <f>SUM(J204:J206)</f>
        <v>11602.369999999999</v>
      </c>
      <c r="K203" s="339">
        <f>J203*BDI_SERVIÇOS_MATERIAIS!$E$11</f>
        <v>3382.4194314465831</v>
      </c>
      <c r="L203" s="314">
        <f>BDI_SERVIÇOS_MATERIAIS!$E$11*I203</f>
        <v>537.21789265212476</v>
      </c>
      <c r="M203" s="346">
        <f>SUM(I203:L203)</f>
        <v>17364.771324098707</v>
      </c>
      <c r="N203" s="244"/>
      <c r="O203" s="245"/>
      <c r="P203" s="6"/>
    </row>
    <row r="204" spans="2:16" ht="15.6">
      <c r="B204" s="233"/>
      <c r="C204" s="273" t="s">
        <v>213</v>
      </c>
      <c r="D204" s="253" t="s">
        <v>7</v>
      </c>
      <c r="E204" s="253">
        <f>E203</f>
        <v>31</v>
      </c>
      <c r="F204" s="253">
        <v>0</v>
      </c>
      <c r="G204" s="253">
        <f t="shared" si="15"/>
        <v>31</v>
      </c>
      <c r="H204" s="249">
        <v>374.27</v>
      </c>
      <c r="I204" s="249"/>
      <c r="J204" s="274">
        <f>H204*G204</f>
        <v>11602.369999999999</v>
      </c>
      <c r="K204" s="318">
        <f>J204*BDI_SERVIÇOS_MATERIAIS!$E$11</f>
        <v>3382.4194314465831</v>
      </c>
      <c r="L204" s="276"/>
      <c r="M204" s="347"/>
      <c r="N204" s="253" t="s">
        <v>12</v>
      </c>
      <c r="O204" s="623">
        <v>44774</v>
      </c>
      <c r="P204" s="6"/>
    </row>
    <row r="205" spans="2:16" ht="30">
      <c r="B205" s="233"/>
      <c r="C205" s="351" t="s">
        <v>180</v>
      </c>
      <c r="D205" s="253" t="s">
        <v>159</v>
      </c>
      <c r="E205" s="279">
        <f>1.1*E203</f>
        <v>34.1</v>
      </c>
      <c r="F205" s="253">
        <v>0</v>
      </c>
      <c r="G205" s="253">
        <f t="shared" si="15"/>
        <v>34.1</v>
      </c>
      <c r="H205" s="249">
        <v>24.98</v>
      </c>
      <c r="I205" s="249">
        <f>G205*H205</f>
        <v>851.8180000000001</v>
      </c>
      <c r="J205" s="274"/>
      <c r="K205" s="318"/>
      <c r="L205" s="276">
        <f>BDI_SERVIÇOS_MATERIAIS!$E$11*I205</f>
        <v>248.3290702896017</v>
      </c>
      <c r="M205" s="352"/>
      <c r="N205" s="253" t="s">
        <v>5</v>
      </c>
      <c r="O205" s="254">
        <v>88248</v>
      </c>
      <c r="P205" s="6"/>
    </row>
    <row r="206" spans="2:16" ht="15.6" thickBot="1">
      <c r="B206" s="233"/>
      <c r="C206" s="361" t="s">
        <v>157</v>
      </c>
      <c r="D206" s="281" t="s">
        <v>159</v>
      </c>
      <c r="E206" s="282">
        <f>1.1*E203</f>
        <v>34.1</v>
      </c>
      <c r="F206" s="281">
        <v>0</v>
      </c>
      <c r="G206" s="281">
        <f t="shared" si="15"/>
        <v>34.1</v>
      </c>
      <c r="H206" s="283">
        <v>29.06</v>
      </c>
      <c r="I206" s="283">
        <f>G206*H206</f>
        <v>990.94600000000003</v>
      </c>
      <c r="J206" s="295"/>
      <c r="K206" s="321"/>
      <c r="L206" s="291">
        <f>BDI_SERVIÇOS_MATERIAIS!$E$11*I206</f>
        <v>288.888822362523</v>
      </c>
      <c r="M206" s="362"/>
      <c r="N206" s="281" t="s">
        <v>5</v>
      </c>
      <c r="O206" s="284">
        <v>88267</v>
      </c>
      <c r="P206" s="6"/>
    </row>
    <row r="207" spans="2:16" ht="46.8">
      <c r="B207" s="285" t="s">
        <v>143</v>
      </c>
      <c r="C207" s="328" t="s">
        <v>592</v>
      </c>
      <c r="D207" s="244" t="s">
        <v>7</v>
      </c>
      <c r="E207" s="244">
        <v>694</v>
      </c>
      <c r="F207" s="244"/>
      <c r="G207" s="244"/>
      <c r="H207" s="287"/>
      <c r="I207" s="288">
        <f>SUM(I208:I212)</f>
        <v>22539.759760000001</v>
      </c>
      <c r="J207" s="301">
        <f>SUM(J208:J212)</f>
        <v>15956.8644</v>
      </c>
      <c r="K207" s="339">
        <f>J207*BDI_SERVIÇOS_MATERIAIS!$E$11</f>
        <v>4651.87786732523</v>
      </c>
      <c r="L207" s="314">
        <f>BDI_SERVIÇOS_MATERIAIS!$E$11*I207</f>
        <v>6570.9782908459038</v>
      </c>
      <c r="M207" s="346">
        <f>SUM(I207:L207)</f>
        <v>49719.480318171132</v>
      </c>
      <c r="N207" s="244" t="s">
        <v>5</v>
      </c>
      <c r="O207" s="245">
        <v>92681</v>
      </c>
      <c r="P207" s="6"/>
    </row>
    <row r="208" spans="2:16" ht="15">
      <c r="B208" s="233"/>
      <c r="C208" s="351" t="s">
        <v>183</v>
      </c>
      <c r="D208" s="253" t="s">
        <v>7</v>
      </c>
      <c r="E208" s="279">
        <f>0.02*E207</f>
        <v>13.88</v>
      </c>
      <c r="F208" s="253">
        <v>0</v>
      </c>
      <c r="G208" s="279">
        <f t="shared" si="15"/>
        <v>13.88</v>
      </c>
      <c r="H208" s="249">
        <v>7.74</v>
      </c>
      <c r="I208" s="249"/>
      <c r="J208" s="274">
        <f>G208*H208</f>
        <v>107.4312</v>
      </c>
      <c r="K208" s="318">
        <f>J208*BDI_SERVIÇOS_MATERIAIS!$E$11</f>
        <v>31.319237226844535</v>
      </c>
      <c r="L208" s="276"/>
      <c r="M208" s="352"/>
      <c r="N208" s="253" t="s">
        <v>5</v>
      </c>
      <c r="O208" s="254">
        <v>3148</v>
      </c>
      <c r="P208" s="6"/>
    </row>
    <row r="209" spans="2:16" ht="15">
      <c r="B209" s="233"/>
      <c r="C209" s="351" t="s">
        <v>199</v>
      </c>
      <c r="D209" s="253" t="s">
        <v>7</v>
      </c>
      <c r="E209" s="279">
        <f>E207</f>
        <v>694</v>
      </c>
      <c r="F209" s="253">
        <v>0</v>
      </c>
      <c r="G209" s="279">
        <f t="shared" ref="G209:G216" si="16">E209-F209</f>
        <v>694</v>
      </c>
      <c r="H209" s="249">
        <v>22.64</v>
      </c>
      <c r="I209" s="249"/>
      <c r="J209" s="274">
        <f>G209*H209</f>
        <v>15712.16</v>
      </c>
      <c r="K209" s="318">
        <f>J209*BDI_SERVIÇOS_MATERIAIS!$E$11</f>
        <v>4580.539604752973</v>
      </c>
      <c r="L209" s="276"/>
      <c r="M209" s="352"/>
      <c r="N209" s="253" t="s">
        <v>5</v>
      </c>
      <c r="O209" s="254">
        <v>6323</v>
      </c>
      <c r="P209" s="6"/>
    </row>
    <row r="210" spans="2:16" ht="15">
      <c r="B210" s="233"/>
      <c r="C210" s="351" t="s">
        <v>184</v>
      </c>
      <c r="D210" s="253" t="s">
        <v>185</v>
      </c>
      <c r="E210" s="279">
        <f>0.005*E207</f>
        <v>3.47</v>
      </c>
      <c r="F210" s="253">
        <v>0</v>
      </c>
      <c r="G210" s="279">
        <f t="shared" si="16"/>
        <v>3.47</v>
      </c>
      <c r="H210" s="249">
        <v>39.56</v>
      </c>
      <c r="I210" s="249"/>
      <c r="J210" s="274">
        <f>G210*H210</f>
        <v>137.2732</v>
      </c>
      <c r="K210" s="318">
        <f>J210*BDI_SERVIÇOS_MATERIAIS!$E$11</f>
        <v>40.019025345412459</v>
      </c>
      <c r="L210" s="276"/>
      <c r="M210" s="352"/>
      <c r="N210" s="253" t="s">
        <v>5</v>
      </c>
      <c r="O210" s="254">
        <v>7307</v>
      </c>
      <c r="P210" s="6"/>
    </row>
    <row r="211" spans="2:16" ht="30">
      <c r="B211" s="233"/>
      <c r="C211" s="351" t="s">
        <v>180</v>
      </c>
      <c r="D211" s="253" t="s">
        <v>159</v>
      </c>
      <c r="E211" s="279">
        <f>0.601*E207</f>
        <v>417.09399999999999</v>
      </c>
      <c r="F211" s="253">
        <v>0</v>
      </c>
      <c r="G211" s="279">
        <f t="shared" si="16"/>
        <v>417.09399999999999</v>
      </c>
      <c r="H211" s="249">
        <v>24.98</v>
      </c>
      <c r="I211" s="249">
        <f>G211*H211</f>
        <v>10419.00812</v>
      </c>
      <c r="J211" s="274"/>
      <c r="K211" s="318"/>
      <c r="L211" s="276">
        <f>BDI_SERVIÇOS_MATERIAIS!$E$11*I211</f>
        <v>3037.4359308906492</v>
      </c>
      <c r="M211" s="352"/>
      <c r="N211" s="253" t="s">
        <v>5</v>
      </c>
      <c r="O211" s="254">
        <v>88248</v>
      </c>
      <c r="P211" s="6"/>
    </row>
    <row r="212" spans="2:16" ht="15.6" thickBot="1">
      <c r="B212" s="233"/>
      <c r="C212" s="361" t="s">
        <v>157</v>
      </c>
      <c r="D212" s="281" t="s">
        <v>159</v>
      </c>
      <c r="E212" s="282">
        <f>0.601*E207</f>
        <v>417.09399999999999</v>
      </c>
      <c r="F212" s="281">
        <v>0</v>
      </c>
      <c r="G212" s="282">
        <f t="shared" si="16"/>
        <v>417.09399999999999</v>
      </c>
      <c r="H212" s="283">
        <v>29.06</v>
      </c>
      <c r="I212" s="283">
        <f>G212*H212</f>
        <v>12120.751639999999</v>
      </c>
      <c r="J212" s="295"/>
      <c r="K212" s="321"/>
      <c r="L212" s="291">
        <f>BDI_SERVIÇOS_MATERIAIS!$E$11*I212</f>
        <v>3533.5423599552541</v>
      </c>
      <c r="M212" s="362"/>
      <c r="N212" s="281" t="s">
        <v>5</v>
      </c>
      <c r="O212" s="284">
        <v>88267</v>
      </c>
      <c r="P212" s="6"/>
    </row>
    <row r="213" spans="2:16" ht="15.6">
      <c r="B213" s="285" t="s">
        <v>144</v>
      </c>
      <c r="C213" s="328" t="s">
        <v>186</v>
      </c>
      <c r="D213" s="244" t="s">
        <v>7</v>
      </c>
      <c r="E213" s="337">
        <f>7+3</f>
        <v>10</v>
      </c>
      <c r="F213" s="244"/>
      <c r="G213" s="337"/>
      <c r="H213" s="287"/>
      <c r="I213" s="288">
        <f>SUM(I214:I216)</f>
        <v>569.57999999999993</v>
      </c>
      <c r="J213" s="301">
        <f>SUM(J214:J216)</f>
        <v>3260.8999999999996</v>
      </c>
      <c r="K213" s="339">
        <f>J213*BDI_SERVIÇOS_MATERIAIS!$E$11</f>
        <v>950.64469793707349</v>
      </c>
      <c r="L213" s="314">
        <f>BDI_SERVIÇOS_MATERIAIS!$E$11*I213</f>
        <v>166.04870037443598</v>
      </c>
      <c r="M213" s="346">
        <f>SUM(I213:L213)</f>
        <v>4947.1733983115091</v>
      </c>
      <c r="N213" s="244" t="s">
        <v>5</v>
      </c>
      <c r="O213" s="245">
        <v>72719</v>
      </c>
      <c r="P213" s="6"/>
    </row>
    <row r="214" spans="2:16" ht="15">
      <c r="B214" s="233"/>
      <c r="C214" s="351" t="s">
        <v>178</v>
      </c>
      <c r="D214" s="253" t="s">
        <v>7</v>
      </c>
      <c r="E214" s="279">
        <f>E213</f>
        <v>10</v>
      </c>
      <c r="F214" s="253">
        <v>0</v>
      </c>
      <c r="G214" s="279">
        <f t="shared" si="16"/>
        <v>10</v>
      </c>
      <c r="H214" s="249">
        <v>326.08999999999997</v>
      </c>
      <c r="I214" s="249"/>
      <c r="J214" s="274">
        <f>G214*H214</f>
        <v>3260.8999999999996</v>
      </c>
      <c r="K214" s="318">
        <f>J214*BDI_SERVIÇOS_MATERIAIS!$E$11</f>
        <v>950.64469793707349</v>
      </c>
      <c r="L214" s="276"/>
      <c r="M214" s="352"/>
      <c r="N214" s="253" t="s">
        <v>5</v>
      </c>
      <c r="O214" s="254">
        <v>6300</v>
      </c>
      <c r="P214" s="6"/>
    </row>
    <row r="215" spans="2:16" ht="15">
      <c r="B215" s="233"/>
      <c r="C215" s="351" t="s">
        <v>157</v>
      </c>
      <c r="D215" s="253" t="s">
        <v>159</v>
      </c>
      <c r="E215" s="279">
        <f>1.1*E213</f>
        <v>11</v>
      </c>
      <c r="F215" s="253">
        <v>0</v>
      </c>
      <c r="G215" s="279">
        <f t="shared" si="16"/>
        <v>11</v>
      </c>
      <c r="H215" s="249">
        <v>29.06</v>
      </c>
      <c r="I215" s="249">
        <f>G215*H215</f>
        <v>319.65999999999997</v>
      </c>
      <c r="J215" s="274"/>
      <c r="K215" s="318">
        <f>J215*BDI_SERVIÇOS_MATERIAIS!$E$11</f>
        <v>0</v>
      </c>
      <c r="L215" s="276">
        <f>BDI_SERVIÇOS_MATERIAIS!$E$11*I215</f>
        <v>93.189942697588066</v>
      </c>
      <c r="M215" s="352"/>
      <c r="N215" s="253" t="s">
        <v>5</v>
      </c>
      <c r="O215" s="254">
        <v>88267</v>
      </c>
      <c r="P215" s="6"/>
    </row>
    <row r="216" spans="2:16" ht="15.6" thickBot="1">
      <c r="B216" s="233"/>
      <c r="C216" s="361" t="s">
        <v>158</v>
      </c>
      <c r="D216" s="281" t="s">
        <v>159</v>
      </c>
      <c r="E216" s="282">
        <f>1.1*E214</f>
        <v>11</v>
      </c>
      <c r="F216" s="281">
        <v>0</v>
      </c>
      <c r="G216" s="282">
        <f t="shared" si="16"/>
        <v>11</v>
      </c>
      <c r="H216" s="283">
        <v>22.72</v>
      </c>
      <c r="I216" s="283">
        <f>G216*H216</f>
        <v>249.92</v>
      </c>
      <c r="J216" s="295"/>
      <c r="K216" s="321">
        <f>J216*BDI_SERVIÇOS_MATERIAIS!$E$11</f>
        <v>0</v>
      </c>
      <c r="L216" s="291">
        <f>BDI_SERVIÇOS_MATERIAIS!$E$11*I216</f>
        <v>72.858757676847929</v>
      </c>
      <c r="M216" s="362"/>
      <c r="N216" s="281" t="s">
        <v>5</v>
      </c>
      <c r="O216" s="284">
        <v>88316</v>
      </c>
      <c r="P216" s="6"/>
    </row>
    <row r="217" spans="2:16" ht="15.6">
      <c r="B217" s="285" t="s">
        <v>145</v>
      </c>
      <c r="C217" s="328" t="s">
        <v>19</v>
      </c>
      <c r="D217" s="244" t="s">
        <v>7</v>
      </c>
      <c r="E217" s="337">
        <v>245</v>
      </c>
      <c r="F217" s="244"/>
      <c r="G217" s="244"/>
      <c r="H217" s="287"/>
      <c r="I217" s="288">
        <f>SUM(I218:I221)</f>
        <v>3985.1797999999999</v>
      </c>
      <c r="J217" s="288">
        <f>SUM(J218:J221)</f>
        <v>2594.7019</v>
      </c>
      <c r="K217" s="329">
        <f>J217*BDI_SERVIÇOS_MATERIAIS!$E$11</f>
        <v>756.42908521029494</v>
      </c>
      <c r="L217" s="338">
        <f>BDI_SERVIÇOS_MATERIAIS!$E$11*I217</f>
        <v>1161.792771074221</v>
      </c>
      <c r="M217" s="326">
        <f>SUM(I217:L217)</f>
        <v>8498.1035562845154</v>
      </c>
      <c r="N217" s="244"/>
      <c r="O217" s="245"/>
      <c r="P217" s="6"/>
    </row>
    <row r="218" spans="2:16" ht="15">
      <c r="B218" s="233"/>
      <c r="C218" s="275" t="s">
        <v>183</v>
      </c>
      <c r="D218" s="253" t="s">
        <v>7</v>
      </c>
      <c r="E218" s="279">
        <f>0.013*E217</f>
        <v>3.1850000000000001</v>
      </c>
      <c r="F218" s="253">
        <v>0</v>
      </c>
      <c r="G218" s="253">
        <f t="shared" ref="G218:G221" si="17">E218-F218</f>
        <v>3.1850000000000001</v>
      </c>
      <c r="H218" s="249">
        <v>7.74</v>
      </c>
      <c r="I218" s="249"/>
      <c r="J218" s="249">
        <f>H218*G218</f>
        <v>24.651900000000001</v>
      </c>
      <c r="K218" s="318">
        <f>J218*BDI_SERVIÇOS_MATERIAIS!$E$11</f>
        <v>7.1867269861311129</v>
      </c>
      <c r="L218" s="276"/>
      <c r="M218" s="319"/>
      <c r="N218" s="253" t="s">
        <v>5</v>
      </c>
      <c r="O218" s="254">
        <v>3148</v>
      </c>
      <c r="P218" s="6"/>
    </row>
    <row r="219" spans="2:16" ht="15">
      <c r="B219" s="233"/>
      <c r="C219" s="275" t="s">
        <v>19</v>
      </c>
      <c r="D219" s="253" t="s">
        <v>7</v>
      </c>
      <c r="E219" s="279">
        <f>E217</f>
        <v>245</v>
      </c>
      <c r="F219" s="253">
        <v>0</v>
      </c>
      <c r="G219" s="253">
        <f t="shared" si="17"/>
        <v>245</v>
      </c>
      <c r="H219" s="249">
        <v>10.49</v>
      </c>
      <c r="I219" s="249"/>
      <c r="J219" s="249">
        <f>H219*G219</f>
        <v>2570.0500000000002</v>
      </c>
      <c r="K219" s="318">
        <f>J219*BDI_SERVIÇOS_MATERIAIS!$E$11</f>
        <v>749.24235822416392</v>
      </c>
      <c r="L219" s="276"/>
      <c r="M219" s="319"/>
      <c r="N219" s="253" t="s">
        <v>5</v>
      </c>
      <c r="O219" s="254">
        <v>765</v>
      </c>
      <c r="P219" s="6"/>
    </row>
    <row r="220" spans="2:16" ht="30">
      <c r="B220" s="233"/>
      <c r="C220" s="275" t="s">
        <v>180</v>
      </c>
      <c r="D220" s="253" t="s">
        <v>159</v>
      </c>
      <c r="E220" s="279">
        <f>0.301*E217</f>
        <v>73.745000000000005</v>
      </c>
      <c r="F220" s="253">
        <v>0</v>
      </c>
      <c r="G220" s="279">
        <f>E220-F220</f>
        <v>73.745000000000005</v>
      </c>
      <c r="H220" s="249">
        <v>24.98</v>
      </c>
      <c r="I220" s="249">
        <f>G220*H220</f>
        <v>1842.1501000000001</v>
      </c>
      <c r="J220" s="249"/>
      <c r="K220" s="318"/>
      <c r="L220" s="276">
        <f>BDI_SERVIÇOS_MATERIAIS!$E$11*I220</f>
        <v>537.0389234166181</v>
      </c>
      <c r="M220" s="319"/>
      <c r="N220" s="253" t="s">
        <v>5</v>
      </c>
      <c r="O220" s="254">
        <v>88248</v>
      </c>
      <c r="P220" s="6"/>
    </row>
    <row r="221" spans="2:16" ht="15.6" thickBot="1">
      <c r="B221" s="289"/>
      <c r="C221" s="320" t="s">
        <v>157</v>
      </c>
      <c r="D221" s="281" t="s">
        <v>159</v>
      </c>
      <c r="E221" s="282">
        <f>0.301*E217</f>
        <v>73.745000000000005</v>
      </c>
      <c r="F221" s="281">
        <v>0</v>
      </c>
      <c r="G221" s="281">
        <f t="shared" si="17"/>
        <v>73.745000000000005</v>
      </c>
      <c r="H221" s="283">
        <v>29.06</v>
      </c>
      <c r="I221" s="283">
        <f>G221*H221</f>
        <v>2143.0297</v>
      </c>
      <c r="J221" s="283"/>
      <c r="K221" s="321"/>
      <c r="L221" s="291">
        <f>BDI_SERVIÇOS_MATERIAIS!$E$11*I221</f>
        <v>624.75384765760293</v>
      </c>
      <c r="M221" s="322"/>
      <c r="N221" s="281" t="s">
        <v>5</v>
      </c>
      <c r="O221" s="284">
        <v>88267</v>
      </c>
      <c r="P221" s="6"/>
    </row>
    <row r="222" spans="2:16" ht="16.2" thickBot="1">
      <c r="B222" s="227" t="s">
        <v>146</v>
      </c>
      <c r="C222" s="286" t="s">
        <v>238</v>
      </c>
      <c r="D222" s="244" t="s">
        <v>7</v>
      </c>
      <c r="E222" s="244">
        <v>4</v>
      </c>
      <c r="F222" s="244"/>
      <c r="G222" s="244"/>
      <c r="H222" s="287"/>
      <c r="I222" s="288">
        <f>SUM(I223:I226)</f>
        <v>170.55024</v>
      </c>
      <c r="J222" s="301">
        <f>SUM(J223:J224)</f>
        <v>422.18824000000001</v>
      </c>
      <c r="K222" s="329">
        <f>J222*BDI_SERVIÇOS_MATERIAIS!$E$11</f>
        <v>123.07982823373447</v>
      </c>
      <c r="L222" s="338">
        <f>BDI_SERVIÇOS_MATERIAIS!$E$11*I222</f>
        <v>49.720224903522158</v>
      </c>
      <c r="M222" s="346">
        <f>SUM(I222:L222)</f>
        <v>765.53853313725665</v>
      </c>
      <c r="N222" s="244" t="s">
        <v>5</v>
      </c>
      <c r="O222" s="245">
        <v>95251</v>
      </c>
      <c r="P222" s="6"/>
    </row>
    <row r="223" spans="2:16" ht="16.2" thickBot="1">
      <c r="B223" s="228"/>
      <c r="C223" s="371" t="s">
        <v>183</v>
      </c>
      <c r="D223" s="244" t="s">
        <v>7</v>
      </c>
      <c r="E223" s="253">
        <f>0.019*E222</f>
        <v>7.5999999999999998E-2</v>
      </c>
      <c r="F223" s="253">
        <v>0</v>
      </c>
      <c r="G223" s="253">
        <f>E223-F223</f>
        <v>7.5999999999999998E-2</v>
      </c>
      <c r="H223" s="249">
        <v>7.74</v>
      </c>
      <c r="I223" s="249"/>
      <c r="J223" s="274">
        <f>G223*H223</f>
        <v>0.58823999999999999</v>
      </c>
      <c r="K223" s="318">
        <f>J223*BDI_SERVIÇOS_MATERIAIS!$E$11</f>
        <v>0.17148861882133895</v>
      </c>
      <c r="L223" s="276"/>
      <c r="M223" s="347"/>
      <c r="N223" s="253" t="s">
        <v>5</v>
      </c>
      <c r="O223" s="254">
        <v>3143</v>
      </c>
      <c r="P223" s="6"/>
    </row>
    <row r="224" spans="2:16" ht="15.6">
      <c r="B224" s="228"/>
      <c r="C224" s="371" t="s">
        <v>452</v>
      </c>
      <c r="D224" s="244" t="s">
        <v>7</v>
      </c>
      <c r="E224" s="253">
        <f>E222</f>
        <v>4</v>
      </c>
      <c r="F224" s="253">
        <v>0</v>
      </c>
      <c r="G224" s="253">
        <f>E224-F224</f>
        <v>4</v>
      </c>
      <c r="H224" s="249">
        <v>105.4</v>
      </c>
      <c r="I224" s="249"/>
      <c r="J224" s="274">
        <f>H224*G224</f>
        <v>421.6</v>
      </c>
      <c r="K224" s="318">
        <f>J224*BDI_SERVIÇOS_MATERIAIS!$E$11</f>
        <v>122.90833961491313</v>
      </c>
      <c r="L224" s="276"/>
      <c r="M224" s="347"/>
      <c r="N224" s="253" t="s">
        <v>5</v>
      </c>
      <c r="O224" s="254">
        <v>11750</v>
      </c>
      <c r="P224" s="6"/>
    </row>
    <row r="225" spans="2:16" ht="30.6">
      <c r="B225" s="228"/>
      <c r="C225" s="371" t="s">
        <v>180</v>
      </c>
      <c r="D225" s="253" t="s">
        <v>159</v>
      </c>
      <c r="E225" s="253">
        <f>0.789*E222</f>
        <v>3.1560000000000001</v>
      </c>
      <c r="F225" s="253">
        <v>0</v>
      </c>
      <c r="G225" s="253">
        <f>E225-F225</f>
        <v>3.1560000000000001</v>
      </c>
      <c r="H225" s="249">
        <v>24.98</v>
      </c>
      <c r="I225" s="249">
        <f>G225*H225</f>
        <v>78.836880000000008</v>
      </c>
      <c r="J225" s="274"/>
      <c r="K225" s="318"/>
      <c r="L225" s="276">
        <f>BDI_SERVIÇOS_MATERIAIS!$E$11*I225</f>
        <v>22.983183162286892</v>
      </c>
      <c r="M225" s="347"/>
      <c r="N225" s="253" t="s">
        <v>5</v>
      </c>
      <c r="O225" s="254">
        <v>88248</v>
      </c>
      <c r="P225" s="6"/>
    </row>
    <row r="226" spans="2:16" ht="16.2" thickBot="1">
      <c r="B226" s="229"/>
      <c r="C226" s="372" t="s">
        <v>157</v>
      </c>
      <c r="D226" s="253" t="s">
        <v>159</v>
      </c>
      <c r="E226" s="281">
        <f>0.789*E222</f>
        <v>3.1560000000000001</v>
      </c>
      <c r="F226" s="281">
        <v>0</v>
      </c>
      <c r="G226" s="281">
        <f>E226-F226</f>
        <v>3.1560000000000001</v>
      </c>
      <c r="H226" s="283">
        <v>29.06</v>
      </c>
      <c r="I226" s="283">
        <f>G226*H226</f>
        <v>91.713359999999994</v>
      </c>
      <c r="J226" s="295"/>
      <c r="K226" s="321"/>
      <c r="L226" s="291">
        <f>BDI_SERVIÇOS_MATERIAIS!$E$11*I226</f>
        <v>26.737041741235267</v>
      </c>
      <c r="M226" s="348"/>
      <c r="N226" s="281" t="s">
        <v>5</v>
      </c>
      <c r="O226" s="284">
        <v>88267</v>
      </c>
      <c r="P226" s="6"/>
    </row>
    <row r="227" spans="2:16" ht="16.2" thickBot="1">
      <c r="B227" s="285" t="s">
        <v>147</v>
      </c>
      <c r="C227" s="286" t="s">
        <v>200</v>
      </c>
      <c r="D227" s="244" t="s">
        <v>8</v>
      </c>
      <c r="E227" s="244">
        <v>1</v>
      </c>
      <c r="F227" s="244"/>
      <c r="G227" s="244"/>
      <c r="H227" s="287"/>
      <c r="I227" s="288">
        <f>SUM(I228:I235)</f>
        <v>103.56</v>
      </c>
      <c r="J227" s="324">
        <f>SUM(J228:J235)</f>
        <v>1614.27</v>
      </c>
      <c r="K227" s="373">
        <f>J227*BDI_SERVIÇOS_MATERIAIS!$E$11</f>
        <v>470.60542075466276</v>
      </c>
      <c r="L227" s="374">
        <f>BDI_SERVIÇOS_MATERIAIS!$E$11*I227</f>
        <v>30.190672795352</v>
      </c>
      <c r="M227" s="326">
        <f>SUM(I227:L227)</f>
        <v>2218.6260935500145</v>
      </c>
      <c r="N227" s="244"/>
      <c r="O227" s="245"/>
      <c r="P227" s="6"/>
    </row>
    <row r="228" spans="2:16" ht="30.6">
      <c r="B228" s="233"/>
      <c r="C228" s="335" t="s">
        <v>174</v>
      </c>
      <c r="D228" s="253" t="s">
        <v>8</v>
      </c>
      <c r="E228" s="253">
        <v>1</v>
      </c>
      <c r="F228" s="253">
        <v>0</v>
      </c>
      <c r="G228" s="253">
        <f>E228-F228</f>
        <v>1</v>
      </c>
      <c r="H228" s="249">
        <v>255.28</v>
      </c>
      <c r="I228" s="276"/>
      <c r="J228" s="249">
        <f>G228*H228</f>
        <v>255.28</v>
      </c>
      <c r="K228" s="375">
        <f>J228*BDI_SERVIÇOS_MATERIAIS!$E$11</f>
        <v>74.421349470813624</v>
      </c>
      <c r="L228" s="367">
        <f>BDI_SERVIÇOS_MATERIAIS!$E$11*I228</f>
        <v>0</v>
      </c>
      <c r="M228" s="319"/>
      <c r="N228" s="253" t="s">
        <v>5</v>
      </c>
      <c r="O228" s="254">
        <v>12657</v>
      </c>
      <c r="P228" s="6"/>
    </row>
    <row r="229" spans="2:16" ht="45.6">
      <c r="B229" s="233"/>
      <c r="C229" s="335" t="s">
        <v>4</v>
      </c>
      <c r="D229" s="253" t="s">
        <v>7</v>
      </c>
      <c r="E229" s="253">
        <v>2</v>
      </c>
      <c r="F229" s="253">
        <v>0</v>
      </c>
      <c r="G229" s="253">
        <f>E229-F229</f>
        <v>2</v>
      </c>
      <c r="H229" s="249">
        <v>232.5</v>
      </c>
      <c r="I229" s="276"/>
      <c r="J229" s="249">
        <f t="shared" ref="J229:J232" si="18">G229*H229</f>
        <v>465</v>
      </c>
      <c r="K229" s="318">
        <f>J229*BDI_SERVIÇOS_MATERIAIS!$E$11</f>
        <v>135.56066869291888</v>
      </c>
      <c r="L229" s="276">
        <f>BDI_SERVIÇOS_MATERIAIS!$E$11*I229</f>
        <v>0</v>
      </c>
      <c r="M229" s="319"/>
      <c r="N229" s="253" t="s">
        <v>5</v>
      </c>
      <c r="O229" s="254">
        <v>10904</v>
      </c>
      <c r="P229" s="6"/>
    </row>
    <row r="230" spans="2:16" ht="30.6">
      <c r="B230" s="233"/>
      <c r="C230" s="273" t="s">
        <v>9</v>
      </c>
      <c r="D230" s="253" t="s">
        <v>7</v>
      </c>
      <c r="E230" s="253">
        <v>2</v>
      </c>
      <c r="F230" s="253">
        <v>0</v>
      </c>
      <c r="G230" s="253">
        <f>E230-F230</f>
        <v>2</v>
      </c>
      <c r="H230" s="249">
        <v>203.71</v>
      </c>
      <c r="I230" s="276"/>
      <c r="J230" s="249">
        <f t="shared" si="18"/>
        <v>407.42</v>
      </c>
      <c r="K230" s="318">
        <f>J230*BDI_SERVIÇOS_MATERIAIS!$E$11</f>
        <v>118.77446804057853</v>
      </c>
      <c r="L230" s="276">
        <f>BDI_SERVIÇOS_MATERIAIS!$E$11*I230</f>
        <v>0</v>
      </c>
      <c r="M230" s="319"/>
      <c r="N230" s="253" t="s">
        <v>5</v>
      </c>
      <c r="O230" s="254">
        <v>20974</v>
      </c>
      <c r="P230" s="6"/>
    </row>
    <row r="231" spans="2:16" ht="15.6">
      <c r="B231" s="233"/>
      <c r="C231" s="273" t="s">
        <v>177</v>
      </c>
      <c r="D231" s="253" t="s">
        <v>7</v>
      </c>
      <c r="E231" s="253">
        <v>1</v>
      </c>
      <c r="F231" s="253">
        <v>0</v>
      </c>
      <c r="G231" s="253">
        <f t="shared" ref="G231:G233" si="19">E231-F231</f>
        <v>1</v>
      </c>
      <c r="H231" s="249">
        <v>132.06</v>
      </c>
      <c r="I231" s="274"/>
      <c r="J231" s="249">
        <f>G231*H231</f>
        <v>132.06</v>
      </c>
      <c r="K231" s="318">
        <f>J231*BDI_SERVIÇOS_MATERIAIS!$E$11</f>
        <v>38.499229908788969</v>
      </c>
      <c r="L231" s="276">
        <f>BDI_SERVIÇOS_MATERIAIS!$E$11*I231</f>
        <v>0</v>
      </c>
      <c r="M231" s="319"/>
      <c r="N231" s="253" t="s">
        <v>5</v>
      </c>
      <c r="O231" s="254">
        <v>6299</v>
      </c>
      <c r="P231" s="6"/>
    </row>
    <row r="232" spans="2:16" ht="15.6">
      <c r="B232" s="233"/>
      <c r="C232" s="273" t="s">
        <v>172</v>
      </c>
      <c r="D232" s="253" t="s">
        <v>7</v>
      </c>
      <c r="E232" s="253">
        <v>1</v>
      </c>
      <c r="F232" s="253">
        <v>0</v>
      </c>
      <c r="G232" s="253">
        <f t="shared" si="19"/>
        <v>1</v>
      </c>
      <c r="H232" s="249">
        <v>188.71</v>
      </c>
      <c r="I232" s="276"/>
      <c r="J232" s="249">
        <f t="shared" si="18"/>
        <v>188.71</v>
      </c>
      <c r="K232" s="318">
        <f>J232*BDI_SERVIÇOS_MATERIAIS!$E$11</f>
        <v>55.014309223743496</v>
      </c>
      <c r="L232" s="276">
        <f>BDI_SERVIÇOS_MATERIAIS!$E$11*I232</f>
        <v>0</v>
      </c>
      <c r="M232" s="319"/>
      <c r="N232" s="253" t="s">
        <v>5</v>
      </c>
      <c r="O232" s="254">
        <v>3932</v>
      </c>
      <c r="P232" s="6"/>
    </row>
    <row r="233" spans="2:16" ht="15.6">
      <c r="B233" s="233"/>
      <c r="C233" s="273" t="s">
        <v>11</v>
      </c>
      <c r="D233" s="253" t="s">
        <v>7</v>
      </c>
      <c r="E233" s="253">
        <v>2</v>
      </c>
      <c r="F233" s="253">
        <v>0</v>
      </c>
      <c r="G233" s="253">
        <f t="shared" si="19"/>
        <v>2</v>
      </c>
      <c r="H233" s="276">
        <v>82.9</v>
      </c>
      <c r="I233" s="276"/>
      <c r="J233" s="249">
        <f>H233*G233</f>
        <v>165.8</v>
      </c>
      <c r="K233" s="318">
        <f>J233*BDI_SERVIÇOS_MATERIAIS!$E$11</f>
        <v>48.335395417819257</v>
      </c>
      <c r="L233" s="276">
        <f>BDI_SERVIÇOS_MATERIAIS!$E$11*I233</f>
        <v>0</v>
      </c>
      <c r="M233" s="319"/>
      <c r="N233" s="253" t="s">
        <v>12</v>
      </c>
      <c r="O233" s="254"/>
      <c r="P233" s="6"/>
    </row>
    <row r="234" spans="2:16" ht="15.6">
      <c r="B234" s="233"/>
      <c r="C234" s="273" t="s">
        <v>157</v>
      </c>
      <c r="D234" s="253" t="s">
        <v>159</v>
      </c>
      <c r="E234" s="253">
        <v>2</v>
      </c>
      <c r="F234" s="253">
        <v>0</v>
      </c>
      <c r="G234" s="253">
        <f>E234-F234</f>
        <v>2</v>
      </c>
      <c r="H234" s="249">
        <v>29.06</v>
      </c>
      <c r="I234" s="276">
        <f>G234*H234</f>
        <v>58.12</v>
      </c>
      <c r="J234" s="249"/>
      <c r="K234" s="318"/>
      <c r="L234" s="276">
        <f>BDI_SERVIÇOS_MATERIAIS!$E$11*I234</f>
        <v>16.943625945016013</v>
      </c>
      <c r="M234" s="319"/>
      <c r="N234" s="253" t="s">
        <v>5</v>
      </c>
      <c r="O234" s="254">
        <v>88267</v>
      </c>
      <c r="P234" s="6"/>
    </row>
    <row r="235" spans="2:16" ht="16.2" thickBot="1">
      <c r="B235" s="233"/>
      <c r="C235" s="376" t="s">
        <v>158</v>
      </c>
      <c r="D235" s="261" t="s">
        <v>159</v>
      </c>
      <c r="E235" s="261">
        <v>2</v>
      </c>
      <c r="F235" s="261">
        <v>0</v>
      </c>
      <c r="G235" s="261">
        <f>E235-F235</f>
        <v>2</v>
      </c>
      <c r="H235" s="283">
        <v>22.72</v>
      </c>
      <c r="I235" s="370">
        <f>G235*H235</f>
        <v>45.44</v>
      </c>
      <c r="J235" s="355"/>
      <c r="K235" s="318"/>
      <c r="L235" s="291">
        <f>BDI_SERVIÇOS_MATERIAIS!$E$11*I235</f>
        <v>13.247046850335988</v>
      </c>
      <c r="M235" s="377"/>
      <c r="N235" s="261" t="s">
        <v>5</v>
      </c>
      <c r="O235" s="364">
        <v>88316</v>
      </c>
      <c r="P235" s="6"/>
    </row>
    <row r="236" spans="2:16" ht="16.2" thickBot="1">
      <c r="B236" s="608" t="s">
        <v>415</v>
      </c>
      <c r="C236" s="637" t="s">
        <v>623</v>
      </c>
      <c r="D236" s="624"/>
      <c r="E236" s="624"/>
      <c r="F236" s="624">
        <v>0</v>
      </c>
      <c r="G236" s="624">
        <f t="shared" ref="G236" si="20">E236-F236</f>
        <v>0</v>
      </c>
      <c r="H236" s="625"/>
      <c r="I236" s="625" t="s">
        <v>428</v>
      </c>
      <c r="J236" s="626">
        <f>H236*G236</f>
        <v>0</v>
      </c>
      <c r="K236" s="627">
        <f>J236*BDI_DIFERENCIADO!$E$10</f>
        <v>0</v>
      </c>
      <c r="L236" s="628"/>
      <c r="M236" s="629">
        <f>SUM(I236:L236)</f>
        <v>0</v>
      </c>
      <c r="N236" s="624"/>
      <c r="O236" s="630"/>
      <c r="P236" s="6"/>
    </row>
    <row r="237" spans="2:16" ht="16.2" thickBot="1">
      <c r="B237" s="378" t="s">
        <v>560</v>
      </c>
      <c r="C237" s="385" t="s">
        <v>565</v>
      </c>
      <c r="D237" s="386" t="s">
        <v>564</v>
      </c>
      <c r="E237" s="386">
        <v>656</v>
      </c>
      <c r="F237" s="386">
        <v>0</v>
      </c>
      <c r="G237" s="386">
        <v>660</v>
      </c>
      <c r="H237" s="387">
        <v>19</v>
      </c>
      <c r="I237" s="388">
        <f>H237*G237</f>
        <v>12540</v>
      </c>
      <c r="J237" s="389"/>
      <c r="K237" s="390"/>
      <c r="L237" s="389">
        <f>BDI_SERVIÇOS_MATERIAIS!$E$11*I237</f>
        <v>3655.7651299122645</v>
      </c>
      <c r="M237" s="383">
        <f>SUM(I237:L237)</f>
        <v>16195.765129912264</v>
      </c>
      <c r="N237" s="379" t="s">
        <v>12</v>
      </c>
      <c r="O237" s="631">
        <v>44805</v>
      </c>
      <c r="P237" s="6"/>
    </row>
    <row r="238" spans="2:16" ht="16.2" thickBot="1">
      <c r="B238" s="608" t="s">
        <v>561</v>
      </c>
      <c r="C238" s="637" t="s">
        <v>623</v>
      </c>
      <c r="D238" s="609"/>
      <c r="E238" s="609"/>
      <c r="F238" s="609"/>
      <c r="G238" s="609"/>
      <c r="H238" s="610"/>
      <c r="I238" s="611">
        <f>SUM(I239:I246)</f>
        <v>0</v>
      </c>
      <c r="J238" s="612">
        <f>SUM(J239:J246)</f>
        <v>0</v>
      </c>
      <c r="K238" s="613">
        <f>J238*BDI_SERVIÇOS_MATERIAIS!$E$11</f>
        <v>0</v>
      </c>
      <c r="L238" s="612">
        <f>BDI_SERVIÇOS_MATERIAIS!$E$11*I238</f>
        <v>0</v>
      </c>
      <c r="M238" s="614">
        <f>SUM(I238:L238)</f>
        <v>0</v>
      </c>
      <c r="N238" s="609"/>
      <c r="O238" s="615"/>
      <c r="P238" s="6"/>
    </row>
    <row r="239" spans="2:16" ht="15.6">
      <c r="B239" s="616"/>
      <c r="C239" s="617"/>
      <c r="D239" s="618"/>
      <c r="E239" s="618"/>
      <c r="F239" s="618"/>
      <c r="G239" s="618"/>
      <c r="H239" s="619"/>
      <c r="I239" s="619"/>
      <c r="J239" s="620">
        <f>H239*G239</f>
        <v>0</v>
      </c>
      <c r="K239" s="621"/>
      <c r="L239" s="620"/>
      <c r="M239" s="622"/>
      <c r="N239" s="618"/>
      <c r="O239" s="618"/>
      <c r="P239" s="6"/>
    </row>
    <row r="240" spans="2:16" ht="15.6">
      <c r="B240" s="616"/>
      <c r="C240" s="617"/>
      <c r="D240" s="618"/>
      <c r="E240" s="618"/>
      <c r="F240" s="618"/>
      <c r="G240" s="618"/>
      <c r="H240" s="619"/>
      <c r="I240" s="619"/>
      <c r="J240" s="620">
        <f>H240*G240</f>
        <v>0</v>
      </c>
      <c r="K240" s="621"/>
      <c r="L240" s="620"/>
      <c r="M240" s="622"/>
      <c r="N240" s="618"/>
      <c r="O240" s="618"/>
      <c r="P240" s="6"/>
    </row>
    <row r="241" spans="2:16" ht="15.6">
      <c r="B241" s="616"/>
      <c r="C241" s="617"/>
      <c r="D241" s="618"/>
      <c r="E241" s="618"/>
      <c r="F241" s="618"/>
      <c r="G241" s="618"/>
      <c r="H241" s="619"/>
      <c r="I241" s="619"/>
      <c r="J241" s="620">
        <f>H241*G241</f>
        <v>0</v>
      </c>
      <c r="K241" s="621"/>
      <c r="L241" s="620"/>
      <c r="M241" s="622"/>
      <c r="N241" s="618"/>
      <c r="O241" s="618"/>
      <c r="P241" s="6"/>
    </row>
    <row r="242" spans="2:16" ht="15.6">
      <c r="B242" s="616"/>
      <c r="C242" s="617"/>
      <c r="D242" s="618"/>
      <c r="E242" s="618"/>
      <c r="F242" s="618"/>
      <c r="G242" s="618"/>
      <c r="H242" s="619"/>
      <c r="I242" s="619"/>
      <c r="J242" s="620">
        <f>H242*G242</f>
        <v>0</v>
      </c>
      <c r="K242" s="621"/>
      <c r="L242" s="620"/>
      <c r="M242" s="622"/>
      <c r="N242" s="618"/>
      <c r="O242" s="618"/>
      <c r="P242" s="6"/>
    </row>
    <row r="243" spans="2:16" ht="15.6">
      <c r="B243" s="616"/>
      <c r="C243" s="617"/>
      <c r="D243" s="618"/>
      <c r="E243" s="618"/>
      <c r="F243" s="618"/>
      <c r="G243" s="618"/>
      <c r="H243" s="619"/>
      <c r="I243" s="619">
        <f>G243*H243</f>
        <v>0</v>
      </c>
      <c r="J243" s="621"/>
      <c r="K243" s="621"/>
      <c r="L243" s="620"/>
      <c r="M243" s="622"/>
      <c r="N243" s="618"/>
      <c r="O243" s="618"/>
      <c r="P243" s="6"/>
    </row>
    <row r="244" spans="2:16" ht="15.6">
      <c r="B244" s="616"/>
      <c r="C244" s="617"/>
      <c r="D244" s="618"/>
      <c r="E244" s="618"/>
      <c r="F244" s="618"/>
      <c r="G244" s="618"/>
      <c r="H244" s="619"/>
      <c r="I244" s="619">
        <f>H244*G244</f>
        <v>0</v>
      </c>
      <c r="J244" s="621"/>
      <c r="K244" s="621"/>
      <c r="L244" s="620"/>
      <c r="M244" s="622"/>
      <c r="N244" s="618"/>
      <c r="O244" s="618"/>
      <c r="P244" s="6"/>
    </row>
    <row r="245" spans="2:16" ht="15.6">
      <c r="B245" s="616"/>
      <c r="C245" s="617"/>
      <c r="D245" s="618"/>
      <c r="E245" s="618"/>
      <c r="F245" s="618"/>
      <c r="G245" s="618"/>
      <c r="H245" s="619"/>
      <c r="I245" s="619">
        <f>G245*H245</f>
        <v>0</v>
      </c>
      <c r="J245" s="621"/>
      <c r="K245" s="621"/>
      <c r="L245" s="620"/>
      <c r="M245" s="622"/>
      <c r="N245" s="618"/>
      <c r="O245" s="618"/>
      <c r="P245" s="6"/>
    </row>
    <row r="246" spans="2:16" ht="15.6">
      <c r="B246" s="616"/>
      <c r="C246" s="617"/>
      <c r="D246" s="618"/>
      <c r="E246" s="618"/>
      <c r="F246" s="618"/>
      <c r="G246" s="618"/>
      <c r="H246" s="619"/>
      <c r="I246" s="619"/>
      <c r="J246" s="620">
        <f>G246*H246</f>
        <v>0</v>
      </c>
      <c r="K246" s="621"/>
      <c r="L246" s="620"/>
      <c r="M246" s="622"/>
      <c r="N246" s="618"/>
      <c r="O246" s="618"/>
      <c r="P246" s="6"/>
    </row>
    <row r="247" spans="2:16" ht="16.2" thickBot="1">
      <c r="B247" s="391"/>
      <c r="C247" s="392"/>
      <c r="D247" s="393"/>
      <c r="E247" s="393"/>
      <c r="F247" s="393"/>
      <c r="G247" s="393"/>
      <c r="H247" s="394"/>
      <c r="I247" s="394"/>
      <c r="J247" s="395"/>
      <c r="K247" s="396"/>
      <c r="L247" s="395"/>
      <c r="M247" s="397"/>
      <c r="N247" s="393"/>
      <c r="O247" s="398"/>
      <c r="P247" s="6"/>
    </row>
    <row r="248" spans="2:16" ht="21.6" thickBot="1">
      <c r="B248" s="667" t="s">
        <v>461</v>
      </c>
      <c r="C248" s="668"/>
      <c r="D248" s="668"/>
      <c r="E248" s="668"/>
      <c r="F248" s="668"/>
      <c r="G248" s="668"/>
      <c r="H248" s="668"/>
      <c r="I248" s="306">
        <f>I81+I86+I91+I95+I99+I107+I111+I115+I119+I125+I131+I135+I141+I147+I153+I160+I167+I173+I179+I185+I191+I197+I203+I207+I213+I217+I222+I227+I103+I237+I238</f>
        <v>399481.84641</v>
      </c>
      <c r="J248" s="306">
        <f>J81+J86+J91+J95+J99+J107+J111+J115+J119+J125+J131+J135+J141+J147+J153+J160+J167+J173+J179+J185+J191+J197+J203+J207+J213+J217+J222+J227+J103+J236+J238+J237</f>
        <v>1391213.4603035001</v>
      </c>
      <c r="K248" s="399">
        <f>K81+K86+K91+K95+K99+K107+K111+K115+K119+K125+K131+K135+K141+K147+K153+K160+K167+K173+K179+K185+K191+K197+K203+K207+K213+K217+K222+K227+K103+K236+K238+K237</f>
        <v>405578.1225232947</v>
      </c>
      <c r="L248" s="306">
        <f>L81+L86+L91+L95+L99+L107+L111+L115+L119+L125+L131+L135+L141+L147+L153+L160+L167+L173+L179+L185+L191+L197+L203+L207+L213+L217+L222+L227+L103+L238+L237</f>
        <v>116460.27146241187</v>
      </c>
      <c r="M248" s="400">
        <f>SUM(M81:M246)</f>
        <v>2312733.700699206</v>
      </c>
      <c r="N248" s="401"/>
      <c r="O248" s="402"/>
      <c r="P248" s="9"/>
    </row>
    <row r="249" spans="2:16" ht="16.2" thickBot="1">
      <c r="B249" s="403">
        <v>3</v>
      </c>
      <c r="C249" s="404" t="s">
        <v>378</v>
      </c>
      <c r="D249" s="405"/>
      <c r="E249" s="405"/>
      <c r="F249" s="405"/>
      <c r="G249" s="405"/>
      <c r="H249" s="405"/>
      <c r="I249" s="405"/>
      <c r="J249" s="405"/>
      <c r="K249" s="406"/>
      <c r="L249" s="407"/>
      <c r="M249" s="408"/>
      <c r="N249" s="409"/>
      <c r="O249" s="409"/>
      <c r="P249" s="5"/>
    </row>
    <row r="250" spans="2:16" ht="31.2">
      <c r="B250" s="227" t="s">
        <v>99</v>
      </c>
      <c r="C250" s="410" t="s">
        <v>398</v>
      </c>
      <c r="D250" s="347" t="s">
        <v>18</v>
      </c>
      <c r="E250" s="239">
        <v>85.85</v>
      </c>
      <c r="F250" s="411"/>
      <c r="G250" s="411"/>
      <c r="H250" s="411"/>
      <c r="I250" s="338">
        <f>SUM(I251:I253)</f>
        <v>4513.4207999999999</v>
      </c>
      <c r="J250" s="338">
        <f>SUM(J251:J253)</f>
        <v>44085.691999999995</v>
      </c>
      <c r="K250" s="412">
        <f>BDI_SERVIÇOS_MATERIAIS!$E$11*J250</f>
        <v>12852.2277146453</v>
      </c>
      <c r="L250" s="314">
        <f>BDI_SERVIÇOS_MATERIAIS!$E$11*I250</f>
        <v>1315.7899822376967</v>
      </c>
      <c r="M250" s="413">
        <f>SUM(I250:L250)</f>
        <v>62767.130496882994</v>
      </c>
      <c r="N250" s="414"/>
      <c r="O250" s="415"/>
      <c r="P250" s="5"/>
    </row>
    <row r="251" spans="2:16" ht="30.6">
      <c r="B251" s="228"/>
      <c r="C251" s="416" t="s">
        <v>398</v>
      </c>
      <c r="D251" s="347" t="s">
        <v>18</v>
      </c>
      <c r="E251" s="253">
        <v>96</v>
      </c>
      <c r="F251" s="253">
        <v>0</v>
      </c>
      <c r="G251" s="253">
        <v>85.85</v>
      </c>
      <c r="H251" s="249">
        <v>513.52</v>
      </c>
      <c r="I251" s="249"/>
      <c r="J251" s="417">
        <f>G251*H251</f>
        <v>44085.691999999995</v>
      </c>
      <c r="K251" s="318">
        <f>BDI_SERVIÇOS_MATERIAIS!$E$11*J251</f>
        <v>12852.2277146453</v>
      </c>
      <c r="L251" s="276"/>
      <c r="M251" s="347"/>
      <c r="N251" s="253" t="s">
        <v>12</v>
      </c>
      <c r="O251" s="623">
        <v>44774</v>
      </c>
      <c r="P251" s="6"/>
    </row>
    <row r="252" spans="2:16" ht="30.6">
      <c r="B252" s="228"/>
      <c r="C252" s="418" t="s">
        <v>180</v>
      </c>
      <c r="D252" s="347" t="s">
        <v>159</v>
      </c>
      <c r="E252" s="253">
        <f>0.87*E251</f>
        <v>83.52</v>
      </c>
      <c r="F252" s="253">
        <v>0</v>
      </c>
      <c r="G252" s="253">
        <f>E252-F252</f>
        <v>83.52</v>
      </c>
      <c r="H252" s="249">
        <v>24.98</v>
      </c>
      <c r="I252" s="249">
        <f>H252*G252</f>
        <v>2086.3296</v>
      </c>
      <c r="J252" s="417"/>
      <c r="K252" s="318"/>
      <c r="L252" s="276">
        <f>BDI_SERVIÇOS_MATERIAIS!$E$11*I252</f>
        <v>608.22416277382797</v>
      </c>
      <c r="M252" s="347"/>
      <c r="N252" s="253" t="s">
        <v>5</v>
      </c>
      <c r="O252" s="254">
        <v>88248</v>
      </c>
      <c r="P252" s="6"/>
    </row>
    <row r="253" spans="2:16" ht="16.2" thickBot="1">
      <c r="B253" s="229"/>
      <c r="C253" s="419" t="s">
        <v>157</v>
      </c>
      <c r="D253" s="281" t="s">
        <v>159</v>
      </c>
      <c r="E253" s="281">
        <f>0.87*E251</f>
        <v>83.52</v>
      </c>
      <c r="F253" s="281">
        <v>0</v>
      </c>
      <c r="G253" s="281">
        <f>E253-F253</f>
        <v>83.52</v>
      </c>
      <c r="H253" s="283">
        <v>29.06</v>
      </c>
      <c r="I253" s="283">
        <f>G253*H253</f>
        <v>2427.0911999999998</v>
      </c>
      <c r="J253" s="295"/>
      <c r="K253" s="318"/>
      <c r="L253" s="291">
        <f>BDI_SERVIÇOS_MATERIAIS!$E$11*I253</f>
        <v>707.56581946386871</v>
      </c>
      <c r="M253" s="348"/>
      <c r="N253" s="281" t="s">
        <v>5</v>
      </c>
      <c r="O253" s="284">
        <v>88267</v>
      </c>
      <c r="P253" s="6"/>
    </row>
    <row r="254" spans="2:16" ht="31.2">
      <c r="B254" s="227" t="s">
        <v>100</v>
      </c>
      <c r="C254" s="420" t="s">
        <v>237</v>
      </c>
      <c r="D254" s="244" t="s">
        <v>8</v>
      </c>
      <c r="E254" s="244">
        <v>7</v>
      </c>
      <c r="F254" s="244"/>
      <c r="G254" s="244"/>
      <c r="H254" s="287"/>
      <c r="I254" s="288">
        <f>SUM(I255:I257)</f>
        <v>378.28</v>
      </c>
      <c r="J254" s="301">
        <f>SUM(J255:J257)</f>
        <v>2037</v>
      </c>
      <c r="K254" s="412">
        <f>BDI_SERVIÇOS_MATERIAIS!$E$11*J254</f>
        <v>593.84318737091564</v>
      </c>
      <c r="L254" s="314">
        <f>BDI_SERVIÇOS_MATERIAIS!$E$11*I254</f>
        <v>110.27933280248894</v>
      </c>
      <c r="M254" s="346">
        <f>SUM(I254:L254)</f>
        <v>3119.4025201734044</v>
      </c>
      <c r="N254" s="244"/>
      <c r="O254" s="245"/>
      <c r="P254" s="6"/>
    </row>
    <row r="255" spans="2:16" ht="30.6">
      <c r="B255" s="228"/>
      <c r="C255" s="335" t="s">
        <v>237</v>
      </c>
      <c r="D255" s="253" t="s">
        <v>8</v>
      </c>
      <c r="E255" s="253">
        <v>7</v>
      </c>
      <c r="F255" s="253">
        <v>0</v>
      </c>
      <c r="G255" s="253">
        <f t="shared" ref="G255:G277" si="21">E255-F255</f>
        <v>7</v>
      </c>
      <c r="H255" s="249">
        <v>291</v>
      </c>
      <c r="I255" s="249"/>
      <c r="J255" s="274">
        <f>G255*H255</f>
        <v>2037</v>
      </c>
      <c r="K255" s="318">
        <f>BDI_SERVIÇOS_MATERIAIS!$E$11*J255</f>
        <v>593.84318737091564</v>
      </c>
      <c r="L255" s="276"/>
      <c r="M255" s="347"/>
      <c r="N255" s="253" t="s">
        <v>12</v>
      </c>
      <c r="O255" s="623">
        <v>44774</v>
      </c>
      <c r="P255" s="6"/>
    </row>
    <row r="256" spans="2:16" ht="30.6">
      <c r="B256" s="228"/>
      <c r="C256" s="371" t="s">
        <v>180</v>
      </c>
      <c r="D256" s="253" t="s">
        <v>159</v>
      </c>
      <c r="E256" s="253">
        <v>7</v>
      </c>
      <c r="F256" s="253">
        <v>0</v>
      </c>
      <c r="G256" s="253">
        <f t="shared" si="21"/>
        <v>7</v>
      </c>
      <c r="H256" s="249">
        <v>24.98</v>
      </c>
      <c r="I256" s="249">
        <f>G256*H256</f>
        <v>174.86</v>
      </c>
      <c r="J256" s="274"/>
      <c r="K256" s="318"/>
      <c r="L256" s="276">
        <f>BDI_SERVIÇOS_MATERIAIS!$E$11*I256</f>
        <v>50.976641994932905</v>
      </c>
      <c r="M256" s="347"/>
      <c r="N256" s="253" t="s">
        <v>5</v>
      </c>
      <c r="O256" s="254">
        <v>88248</v>
      </c>
      <c r="P256" s="6"/>
    </row>
    <row r="257" spans="2:16" ht="16.2" thickBot="1">
      <c r="B257" s="229"/>
      <c r="C257" s="372" t="s">
        <v>157</v>
      </c>
      <c r="D257" s="281" t="s">
        <v>159</v>
      </c>
      <c r="E257" s="281">
        <v>7</v>
      </c>
      <c r="F257" s="281">
        <v>0</v>
      </c>
      <c r="G257" s="281">
        <f t="shared" si="21"/>
        <v>7</v>
      </c>
      <c r="H257" s="283">
        <v>29.06</v>
      </c>
      <c r="I257" s="283">
        <f>H257*G257</f>
        <v>203.42</v>
      </c>
      <c r="J257" s="295"/>
      <c r="K257" s="318"/>
      <c r="L257" s="291">
        <f>BDI_SERVIÇOS_MATERIAIS!$E$11*I257</f>
        <v>59.30269080755604</v>
      </c>
      <c r="M257" s="348"/>
      <c r="N257" s="281" t="s">
        <v>5</v>
      </c>
      <c r="O257" s="284">
        <v>88267</v>
      </c>
      <c r="P257" s="6"/>
    </row>
    <row r="258" spans="2:16" ht="15.6">
      <c r="B258" s="421" t="s">
        <v>101</v>
      </c>
      <c r="C258" s="286" t="s">
        <v>397</v>
      </c>
      <c r="D258" s="253" t="s">
        <v>8</v>
      </c>
      <c r="E258" s="244">
        <v>4</v>
      </c>
      <c r="F258" s="244"/>
      <c r="G258" s="244"/>
      <c r="H258" s="287"/>
      <c r="I258" s="288">
        <f>SUM(I259:I261)</f>
        <v>216.16</v>
      </c>
      <c r="J258" s="301">
        <f>SUM(J259:J261)</f>
        <v>2000.252</v>
      </c>
      <c r="K258" s="412">
        <f>BDI_SERVIÇOS_MATERIAIS!$E$11*J258</f>
        <v>583.13010467601805</v>
      </c>
      <c r="L258" s="314">
        <f>BDI_SERVIÇOS_MATERIAIS!$E$11*I258</f>
        <v>63.016761601422253</v>
      </c>
      <c r="M258" s="346">
        <f>SUM(I258:L258)</f>
        <v>2862.5588662774403</v>
      </c>
      <c r="N258" s="244"/>
      <c r="O258" s="245"/>
      <c r="P258" s="6"/>
    </row>
    <row r="259" spans="2:16" ht="15.6">
      <c r="B259" s="422"/>
      <c r="C259" s="335" t="s">
        <v>397</v>
      </c>
      <c r="D259" s="253" t="s">
        <v>8</v>
      </c>
      <c r="E259" s="253">
        <v>4</v>
      </c>
      <c r="F259" s="253">
        <v>0</v>
      </c>
      <c r="G259" s="253">
        <f t="shared" si="21"/>
        <v>4</v>
      </c>
      <c r="H259" s="249">
        <v>500.06299999999999</v>
      </c>
      <c r="I259" s="249"/>
      <c r="J259" s="274">
        <f>G259*H259</f>
        <v>2000.252</v>
      </c>
      <c r="K259" s="318">
        <f>BDI_SERVIÇOS_MATERIAIS!$E$11*J259</f>
        <v>583.13010467601805</v>
      </c>
      <c r="L259" s="276"/>
      <c r="M259" s="347"/>
      <c r="N259" s="253" t="s">
        <v>12</v>
      </c>
      <c r="O259" s="623">
        <v>44774</v>
      </c>
      <c r="P259" s="6"/>
    </row>
    <row r="260" spans="2:16" ht="30.6">
      <c r="B260" s="422"/>
      <c r="C260" s="371" t="s">
        <v>180</v>
      </c>
      <c r="D260" s="253" t="s">
        <v>159</v>
      </c>
      <c r="E260" s="253">
        <v>4</v>
      </c>
      <c r="F260" s="253">
        <v>0</v>
      </c>
      <c r="G260" s="253">
        <f t="shared" si="21"/>
        <v>4</v>
      </c>
      <c r="H260" s="249">
        <v>24.98</v>
      </c>
      <c r="I260" s="249">
        <f>H260*G260</f>
        <v>99.92</v>
      </c>
      <c r="J260" s="274"/>
      <c r="K260" s="318"/>
      <c r="L260" s="276">
        <f>BDI_SERVIÇOS_MATERIAIS!$E$11*I260</f>
        <v>29.129509711390227</v>
      </c>
      <c r="M260" s="347"/>
      <c r="N260" s="253" t="s">
        <v>5</v>
      </c>
      <c r="O260" s="254">
        <v>88248</v>
      </c>
      <c r="P260" s="6"/>
    </row>
    <row r="261" spans="2:16" ht="16.2" thickBot="1">
      <c r="B261" s="423"/>
      <c r="C261" s="372" t="s">
        <v>157</v>
      </c>
      <c r="D261" s="281" t="s">
        <v>159</v>
      </c>
      <c r="E261" s="281">
        <v>4</v>
      </c>
      <c r="F261" s="281">
        <v>0</v>
      </c>
      <c r="G261" s="281">
        <f t="shared" si="21"/>
        <v>4</v>
      </c>
      <c r="H261" s="283">
        <v>29.06</v>
      </c>
      <c r="I261" s="283">
        <f>H261*G261</f>
        <v>116.24</v>
      </c>
      <c r="J261" s="295"/>
      <c r="K261" s="318"/>
      <c r="L261" s="291">
        <f>BDI_SERVIÇOS_MATERIAIS!$E$11*I261</f>
        <v>33.887251890032026</v>
      </c>
      <c r="M261" s="424"/>
      <c r="N261" s="281" t="s">
        <v>5</v>
      </c>
      <c r="O261" s="284">
        <v>88267</v>
      </c>
      <c r="P261" s="6"/>
    </row>
    <row r="262" spans="2:16" ht="31.2">
      <c r="B262" s="227" t="s">
        <v>102</v>
      </c>
      <c r="C262" s="286" t="s">
        <v>222</v>
      </c>
      <c r="D262" s="253" t="s">
        <v>8</v>
      </c>
      <c r="E262" s="253">
        <v>3</v>
      </c>
      <c r="F262" s="244"/>
      <c r="G262" s="244"/>
      <c r="H262" s="287"/>
      <c r="I262" s="288">
        <f>SUM(I263:I265)</f>
        <v>432.32</v>
      </c>
      <c r="J262" s="301">
        <f>SUM(J263:J265)</f>
        <v>14238.78</v>
      </c>
      <c r="K262" s="412">
        <f>BDI_SERVIÇOS_MATERIAIS!$E$11*J262</f>
        <v>4151.0076089706663</v>
      </c>
      <c r="L262" s="314">
        <f>BDI_SERVIÇOS_MATERIAIS!$E$11*I262</f>
        <v>126.03352320284451</v>
      </c>
      <c r="M262" s="346">
        <f>SUM(I262:L262)</f>
        <v>18948.14113217351</v>
      </c>
      <c r="N262" s="244"/>
      <c r="O262" s="245"/>
      <c r="P262" s="6"/>
    </row>
    <row r="263" spans="2:16" ht="30.6">
      <c r="B263" s="228"/>
      <c r="C263" s="335" t="s">
        <v>222</v>
      </c>
      <c r="D263" s="253" t="s">
        <v>8</v>
      </c>
      <c r="E263" s="253">
        <v>3</v>
      </c>
      <c r="F263" s="253">
        <v>0</v>
      </c>
      <c r="G263" s="253">
        <f t="shared" si="21"/>
        <v>3</v>
      </c>
      <c r="H263" s="249">
        <v>4746.26</v>
      </c>
      <c r="I263" s="249"/>
      <c r="J263" s="274">
        <f t="shared" ref="J263:J275" si="22">G263*H263</f>
        <v>14238.78</v>
      </c>
      <c r="K263" s="318">
        <f>BDI_SERVIÇOS_MATERIAIS!$E$11*J263</f>
        <v>4151.0076089706663</v>
      </c>
      <c r="L263" s="276"/>
      <c r="M263" s="425"/>
      <c r="N263" s="253" t="s">
        <v>12</v>
      </c>
      <c r="O263" s="623">
        <v>44805</v>
      </c>
      <c r="P263" s="6"/>
    </row>
    <row r="264" spans="2:16" ht="30.6">
      <c r="B264" s="228"/>
      <c r="C264" s="371" t="s">
        <v>180</v>
      </c>
      <c r="D264" s="253" t="s">
        <v>159</v>
      </c>
      <c r="E264" s="253">
        <v>8</v>
      </c>
      <c r="F264" s="253">
        <v>0</v>
      </c>
      <c r="G264" s="253">
        <f t="shared" si="21"/>
        <v>8</v>
      </c>
      <c r="H264" s="249">
        <v>24.98</v>
      </c>
      <c r="I264" s="249">
        <f>H264*G264</f>
        <v>199.84</v>
      </c>
      <c r="J264" s="274"/>
      <c r="K264" s="318"/>
      <c r="L264" s="276">
        <f>BDI_SERVIÇOS_MATERIAIS!$E$11*I264</f>
        <v>58.259019422780455</v>
      </c>
      <c r="M264" s="425"/>
      <c r="N264" s="253" t="s">
        <v>5</v>
      </c>
      <c r="O264" s="254">
        <v>88248</v>
      </c>
      <c r="P264" s="6"/>
    </row>
    <row r="265" spans="2:16" ht="16.2" thickBot="1">
      <c r="B265" s="229"/>
      <c r="C265" s="372" t="s">
        <v>157</v>
      </c>
      <c r="D265" s="281" t="s">
        <v>159</v>
      </c>
      <c r="E265" s="281">
        <v>8</v>
      </c>
      <c r="F265" s="281">
        <v>0</v>
      </c>
      <c r="G265" s="281">
        <f t="shared" si="21"/>
        <v>8</v>
      </c>
      <c r="H265" s="283">
        <v>29.06</v>
      </c>
      <c r="I265" s="283">
        <f>H265*G265</f>
        <v>232.48</v>
      </c>
      <c r="J265" s="295"/>
      <c r="K265" s="318"/>
      <c r="L265" s="291">
        <f>BDI_SERVIÇOS_MATERIAIS!$E$11*I265</f>
        <v>67.774503780064052</v>
      </c>
      <c r="M265" s="424"/>
      <c r="N265" s="281" t="s">
        <v>5</v>
      </c>
      <c r="O265" s="284">
        <v>88267</v>
      </c>
      <c r="P265" s="6"/>
    </row>
    <row r="266" spans="2:16" ht="31.2">
      <c r="B266" s="227" t="s">
        <v>103</v>
      </c>
      <c r="C266" s="286" t="s">
        <v>223</v>
      </c>
      <c r="D266" s="253" t="s">
        <v>8</v>
      </c>
      <c r="E266" s="253">
        <v>3</v>
      </c>
      <c r="F266" s="244"/>
      <c r="G266" s="244"/>
      <c r="H266" s="287"/>
      <c r="I266" s="288">
        <f>SUM(I267:I269)</f>
        <v>216.16</v>
      </c>
      <c r="J266" s="288">
        <f>SUM(J267:J269)</f>
        <v>2820</v>
      </c>
      <c r="K266" s="412">
        <f>BDI_SERVIÇOS_MATERIAIS!$E$11*J266</f>
        <v>822.10986175060486</v>
      </c>
      <c r="L266" s="314">
        <f>BDI_SERVIÇOS_MATERIAIS!$E$11*I266</f>
        <v>63.016761601422253</v>
      </c>
      <c r="M266" s="346">
        <f>SUM(I266:L266)</f>
        <v>3921.2866233520272</v>
      </c>
      <c r="N266" s="244"/>
      <c r="O266" s="245"/>
      <c r="P266" s="6"/>
    </row>
    <row r="267" spans="2:16" ht="15.6">
      <c r="B267" s="228"/>
      <c r="C267" s="335" t="s">
        <v>453</v>
      </c>
      <c r="D267" s="253" t="s">
        <v>8</v>
      </c>
      <c r="E267" s="253">
        <v>3</v>
      </c>
      <c r="F267" s="253">
        <v>0</v>
      </c>
      <c r="G267" s="253">
        <f t="shared" si="21"/>
        <v>3</v>
      </c>
      <c r="H267" s="249">
        <v>940</v>
      </c>
      <c r="I267" s="249"/>
      <c r="J267" s="274">
        <f t="shared" si="22"/>
        <v>2820</v>
      </c>
      <c r="K267" s="318">
        <f>BDI_SERVIÇOS_MATERIAIS!$E$11*J267</f>
        <v>822.10986175060486</v>
      </c>
      <c r="L267" s="276"/>
      <c r="M267" s="425"/>
      <c r="N267" s="253" t="s">
        <v>12</v>
      </c>
      <c r="O267" s="623">
        <v>44805</v>
      </c>
      <c r="P267" s="6"/>
    </row>
    <row r="268" spans="2:16" ht="30.6">
      <c r="B268" s="228"/>
      <c r="C268" s="371" t="s">
        <v>180</v>
      </c>
      <c r="D268" s="253" t="s">
        <v>159</v>
      </c>
      <c r="E268" s="253">
        <v>4</v>
      </c>
      <c r="F268" s="253">
        <v>0</v>
      </c>
      <c r="G268" s="253">
        <f t="shared" si="21"/>
        <v>4</v>
      </c>
      <c r="H268" s="249">
        <v>24.98</v>
      </c>
      <c r="I268" s="249">
        <f>H268*G268</f>
        <v>99.92</v>
      </c>
      <c r="J268" s="274"/>
      <c r="K268" s="318"/>
      <c r="L268" s="276">
        <f>BDI_SERVIÇOS_MATERIAIS!$E$11*I268</f>
        <v>29.129509711390227</v>
      </c>
      <c r="M268" s="425"/>
      <c r="N268" s="253" t="s">
        <v>5</v>
      </c>
      <c r="O268" s="254">
        <v>88248</v>
      </c>
      <c r="P268" s="6"/>
    </row>
    <row r="269" spans="2:16" ht="16.2" thickBot="1">
      <c r="B269" s="229"/>
      <c r="C269" s="372" t="s">
        <v>157</v>
      </c>
      <c r="D269" s="281" t="s">
        <v>159</v>
      </c>
      <c r="E269" s="281">
        <v>4</v>
      </c>
      <c r="F269" s="281">
        <v>0</v>
      </c>
      <c r="G269" s="281">
        <f t="shared" si="21"/>
        <v>4</v>
      </c>
      <c r="H269" s="283">
        <v>29.06</v>
      </c>
      <c r="I269" s="283">
        <f>H269*G269</f>
        <v>116.24</v>
      </c>
      <c r="J269" s="295"/>
      <c r="K269" s="318"/>
      <c r="L269" s="291">
        <f>BDI_SERVIÇOS_MATERIAIS!$E$11*I269</f>
        <v>33.887251890032026</v>
      </c>
      <c r="M269" s="424"/>
      <c r="N269" s="281" t="s">
        <v>5</v>
      </c>
      <c r="O269" s="284">
        <v>88267</v>
      </c>
      <c r="P269" s="6"/>
    </row>
    <row r="270" spans="2:16" ht="31.2">
      <c r="B270" s="227" t="s">
        <v>104</v>
      </c>
      <c r="C270" s="286" t="s">
        <v>224</v>
      </c>
      <c r="D270" s="426" t="s">
        <v>8</v>
      </c>
      <c r="E270" s="253">
        <v>1</v>
      </c>
      <c r="F270" s="244"/>
      <c r="G270" s="244"/>
      <c r="H270" s="287"/>
      <c r="I270" s="288">
        <f>SUM(I271:I273)</f>
        <v>432.32</v>
      </c>
      <c r="J270" s="301">
        <f>SUM(J271:J273)</f>
        <v>5636.19</v>
      </c>
      <c r="K270" s="412">
        <f>BDI_SERVIÇOS_MATERIAIS!$E$11*J270</f>
        <v>1643.1090006028871</v>
      </c>
      <c r="L270" s="338">
        <f>BDI_SERVIÇOS_MATERIAIS!$E$11*I270</f>
        <v>126.03352320284451</v>
      </c>
      <c r="M270" s="346">
        <f>SUM(I270:L270)</f>
        <v>7837.6525238057311</v>
      </c>
      <c r="N270" s="244"/>
      <c r="O270" s="245"/>
      <c r="P270" s="6"/>
    </row>
    <row r="271" spans="2:16" ht="30.6">
      <c r="B271" s="228"/>
      <c r="C271" s="335" t="s">
        <v>224</v>
      </c>
      <c r="D271" s="426" t="s">
        <v>8</v>
      </c>
      <c r="E271" s="253">
        <v>1</v>
      </c>
      <c r="F271" s="253">
        <v>0</v>
      </c>
      <c r="G271" s="253">
        <f t="shared" si="21"/>
        <v>1</v>
      </c>
      <c r="H271" s="249">
        <v>5636.19</v>
      </c>
      <c r="I271" s="249"/>
      <c r="J271" s="274">
        <f t="shared" si="22"/>
        <v>5636.19</v>
      </c>
      <c r="K271" s="318">
        <f>BDI_SERVIÇOS_MATERIAIS!$E$11*J271</f>
        <v>1643.1090006028871</v>
      </c>
      <c r="L271" s="276"/>
      <c r="M271" s="425"/>
      <c r="N271" s="253" t="s">
        <v>12</v>
      </c>
      <c r="O271" s="623">
        <v>44805</v>
      </c>
      <c r="P271" s="6"/>
    </row>
    <row r="272" spans="2:16" ht="30.6">
      <c r="B272" s="228"/>
      <c r="C272" s="371" t="s">
        <v>180</v>
      </c>
      <c r="D272" s="253" t="s">
        <v>159</v>
      </c>
      <c r="E272" s="253">
        <v>8</v>
      </c>
      <c r="F272" s="253">
        <v>0</v>
      </c>
      <c r="G272" s="253">
        <f t="shared" si="21"/>
        <v>8</v>
      </c>
      <c r="H272" s="249">
        <v>24.98</v>
      </c>
      <c r="I272" s="249">
        <f>H272*G272</f>
        <v>199.84</v>
      </c>
      <c r="J272" s="274"/>
      <c r="K272" s="318"/>
      <c r="L272" s="276">
        <f>BDI_SERVIÇOS_MATERIAIS!$E$11*I272</f>
        <v>58.259019422780455</v>
      </c>
      <c r="M272" s="425"/>
      <c r="N272" s="253" t="s">
        <v>5</v>
      </c>
      <c r="O272" s="254">
        <v>88248</v>
      </c>
      <c r="P272" s="6"/>
    </row>
    <row r="273" spans="2:16" ht="16.2" thickBot="1">
      <c r="B273" s="229"/>
      <c r="C273" s="372" t="s">
        <v>157</v>
      </c>
      <c r="D273" s="281" t="s">
        <v>159</v>
      </c>
      <c r="E273" s="281">
        <v>8</v>
      </c>
      <c r="F273" s="281">
        <v>0</v>
      </c>
      <c r="G273" s="281">
        <f t="shared" si="21"/>
        <v>8</v>
      </c>
      <c r="H273" s="283">
        <v>29.06</v>
      </c>
      <c r="I273" s="283">
        <f>H273*G273</f>
        <v>232.48</v>
      </c>
      <c r="J273" s="295"/>
      <c r="K273" s="321"/>
      <c r="L273" s="291">
        <f>BDI_SERVIÇOS_MATERIAIS!$E$11*I273</f>
        <v>67.774503780064052</v>
      </c>
      <c r="M273" s="424"/>
      <c r="N273" s="281" t="s">
        <v>5</v>
      </c>
      <c r="O273" s="284">
        <v>88267</v>
      </c>
      <c r="P273" s="6"/>
    </row>
    <row r="274" spans="2:16" ht="31.2">
      <c r="B274" s="227" t="s">
        <v>105</v>
      </c>
      <c r="C274" s="286" t="s">
        <v>225</v>
      </c>
      <c r="D274" s="426" t="s">
        <v>8</v>
      </c>
      <c r="E274" s="253">
        <v>1</v>
      </c>
      <c r="F274" s="244"/>
      <c r="G274" s="244"/>
      <c r="H274" s="287"/>
      <c r="I274" s="288">
        <f>SUM(I275:I277)</f>
        <v>216.16</v>
      </c>
      <c r="J274" s="288">
        <f>SUM(J275:J277)</f>
        <v>1332.96</v>
      </c>
      <c r="K274" s="329">
        <f>BDI_SERVIÇOS_MATERIAIS!$E$11*J274</f>
        <v>388.5955891202434</v>
      </c>
      <c r="L274" s="338">
        <f>BDI_SERVIÇOS_MATERIAIS!$E$11*I274</f>
        <v>63.016761601422253</v>
      </c>
      <c r="M274" s="346">
        <f>SUM(I274:L274)</f>
        <v>2000.7323507216659</v>
      </c>
      <c r="N274" s="244"/>
      <c r="O274" s="245"/>
      <c r="P274" s="6"/>
    </row>
    <row r="275" spans="2:16" ht="15.6">
      <c r="B275" s="228"/>
      <c r="C275" s="335" t="s">
        <v>454</v>
      </c>
      <c r="D275" s="426" t="s">
        <v>8</v>
      </c>
      <c r="E275" s="253">
        <v>1</v>
      </c>
      <c r="F275" s="253">
        <v>0</v>
      </c>
      <c r="G275" s="253">
        <f t="shared" si="21"/>
        <v>1</v>
      </c>
      <c r="H275" s="249">
        <v>1332.96</v>
      </c>
      <c r="I275" s="249"/>
      <c r="J275" s="274">
        <f t="shared" si="22"/>
        <v>1332.96</v>
      </c>
      <c r="K275" s="318">
        <f>BDI_SERVIÇOS_MATERIAIS!$E$11*J275</f>
        <v>388.5955891202434</v>
      </c>
      <c r="L275" s="276"/>
      <c r="M275" s="425"/>
      <c r="N275" s="253" t="s">
        <v>12</v>
      </c>
      <c r="O275" s="623">
        <v>44805</v>
      </c>
      <c r="P275" s="6"/>
    </row>
    <row r="276" spans="2:16" ht="30.6">
      <c r="B276" s="228"/>
      <c r="C276" s="371" t="s">
        <v>180</v>
      </c>
      <c r="D276" s="253" t="s">
        <v>159</v>
      </c>
      <c r="E276" s="253">
        <v>4</v>
      </c>
      <c r="F276" s="253">
        <v>0</v>
      </c>
      <c r="G276" s="253">
        <f t="shared" si="21"/>
        <v>4</v>
      </c>
      <c r="H276" s="249">
        <v>24.98</v>
      </c>
      <c r="I276" s="249">
        <f>H276*G276</f>
        <v>99.92</v>
      </c>
      <c r="J276" s="274"/>
      <c r="K276" s="318"/>
      <c r="L276" s="276">
        <f>BDI_SERVIÇOS_MATERIAIS!$E$11*I276</f>
        <v>29.129509711390227</v>
      </c>
      <c r="M276" s="425"/>
      <c r="N276" s="253" t="s">
        <v>5</v>
      </c>
      <c r="O276" s="254">
        <v>88248</v>
      </c>
      <c r="P276" s="6"/>
    </row>
    <row r="277" spans="2:16" ht="16.2" thickBot="1">
      <c r="B277" s="229"/>
      <c r="C277" s="372" t="s">
        <v>157</v>
      </c>
      <c r="D277" s="281" t="s">
        <v>159</v>
      </c>
      <c r="E277" s="281">
        <v>4</v>
      </c>
      <c r="F277" s="281">
        <v>0</v>
      </c>
      <c r="G277" s="281">
        <f t="shared" si="21"/>
        <v>4</v>
      </c>
      <c r="H277" s="283">
        <v>29.06</v>
      </c>
      <c r="I277" s="283">
        <f>H277*G277</f>
        <v>116.24</v>
      </c>
      <c r="J277" s="295"/>
      <c r="K277" s="321"/>
      <c r="L277" s="291">
        <f>BDI_SERVIÇOS_MATERIAIS!$E$11*I277</f>
        <v>33.887251890032026</v>
      </c>
      <c r="M277" s="424"/>
      <c r="N277" s="281" t="s">
        <v>5</v>
      </c>
      <c r="O277" s="284">
        <v>88267</v>
      </c>
      <c r="P277" s="6"/>
    </row>
    <row r="278" spans="2:16" ht="21">
      <c r="B278" s="654" t="s">
        <v>459</v>
      </c>
      <c r="C278" s="655"/>
      <c r="D278" s="655"/>
      <c r="E278" s="655"/>
      <c r="F278" s="655"/>
      <c r="G278" s="655"/>
      <c r="H278" s="656"/>
      <c r="I278" s="427">
        <f>I250+I254+I258+I262+I266+I270+I274</f>
        <v>6404.8207999999986</v>
      </c>
      <c r="J278" s="427">
        <f>J250+J254+J258+J262+J266+J270+J274</f>
        <v>72150.873999999996</v>
      </c>
      <c r="K278" s="428">
        <f t="shared" ref="K278" si="23">K250+K254+K258+K262+K266+K270+K274</f>
        <v>21034.023067136633</v>
      </c>
      <c r="L278" s="429">
        <f>L250+L254+L258+L262+L266+L270+L274</f>
        <v>1867.1866462501414</v>
      </c>
      <c r="M278" s="430">
        <f>SUM(M250:M277)</f>
        <v>101456.90451338678</v>
      </c>
      <c r="N278" s="427"/>
      <c r="O278" s="431"/>
      <c r="P278" s="9"/>
    </row>
    <row r="279" spans="2:16" ht="16.2" thickBot="1">
      <c r="B279" s="432">
        <v>4</v>
      </c>
      <c r="C279" s="433" t="s">
        <v>379</v>
      </c>
      <c r="D279" s="407"/>
      <c r="E279" s="407"/>
      <c r="F279" s="407"/>
      <c r="G279" s="407"/>
      <c r="H279" s="407"/>
      <c r="I279" s="407"/>
      <c r="J279" s="407"/>
      <c r="K279" s="434"/>
      <c r="L279" s="407"/>
      <c r="M279" s="435"/>
      <c r="N279" s="436"/>
      <c r="O279" s="436"/>
      <c r="P279" s="5"/>
    </row>
    <row r="280" spans="2:16" ht="31.2">
      <c r="B280" s="227" t="s">
        <v>80</v>
      </c>
      <c r="C280" s="286" t="s">
        <v>226</v>
      </c>
      <c r="D280" s="253" t="s">
        <v>8</v>
      </c>
      <c r="E280" s="253">
        <v>1</v>
      </c>
      <c r="F280" s="411"/>
      <c r="G280" s="411"/>
      <c r="H280" s="411"/>
      <c r="I280" s="338">
        <f>SUM(I281:I283)</f>
        <v>432.32</v>
      </c>
      <c r="J280" s="338">
        <f>SUM(J281:J283)</f>
        <v>5900</v>
      </c>
      <c r="K280" s="412">
        <f>BDI_SERVIÇOS_MATERIAIS!$E$11*J280</f>
        <v>1720.0170866413364</v>
      </c>
      <c r="L280" s="314">
        <f>BDI_SERVIÇOS_MATERIAIS!$E$11*I280</f>
        <v>126.03352320284451</v>
      </c>
      <c r="M280" s="413">
        <f>SUM(I280:L280)</f>
        <v>8178.3706098441808</v>
      </c>
      <c r="N280" s="414"/>
      <c r="O280" s="415"/>
      <c r="P280" s="5"/>
    </row>
    <row r="281" spans="2:16" ht="15.6">
      <c r="B281" s="228"/>
      <c r="C281" s="335" t="s">
        <v>455</v>
      </c>
      <c r="D281" s="253" t="s">
        <v>8</v>
      </c>
      <c r="E281" s="253">
        <v>1</v>
      </c>
      <c r="F281" s="253">
        <v>0</v>
      </c>
      <c r="G281" s="253">
        <f>E281-F281</f>
        <v>1</v>
      </c>
      <c r="H281" s="249">
        <v>5900</v>
      </c>
      <c r="I281" s="249"/>
      <c r="J281" s="274">
        <f>G281*H281</f>
        <v>5900</v>
      </c>
      <c r="K281" s="318">
        <f>BDI_SERVIÇOS_MATERIAIS!$E$11*J281</f>
        <v>1720.0170866413364</v>
      </c>
      <c r="L281" s="276"/>
      <c r="M281" s="347"/>
      <c r="N281" s="253" t="s">
        <v>12</v>
      </c>
      <c r="O281" s="623">
        <v>44774</v>
      </c>
      <c r="P281" s="6"/>
    </row>
    <row r="282" spans="2:16" ht="30.6">
      <c r="B282" s="228"/>
      <c r="C282" s="371" t="s">
        <v>180</v>
      </c>
      <c r="D282" s="253" t="s">
        <v>159</v>
      </c>
      <c r="E282" s="253">
        <v>8</v>
      </c>
      <c r="F282" s="253">
        <v>0</v>
      </c>
      <c r="G282" s="253">
        <f t="shared" ref="G282:G283" si="24">E282-F282</f>
        <v>8</v>
      </c>
      <c r="H282" s="249">
        <v>24.98</v>
      </c>
      <c r="I282" s="249">
        <f>H282*G282</f>
        <v>199.84</v>
      </c>
      <c r="J282" s="274"/>
      <c r="K282" s="318"/>
      <c r="L282" s="276">
        <f>BDI_SERVIÇOS_MATERIAIS!$E$11*I282</f>
        <v>58.259019422780455</v>
      </c>
      <c r="M282" s="347"/>
      <c r="N282" s="253" t="s">
        <v>5</v>
      </c>
      <c r="O282" s="254">
        <v>88248</v>
      </c>
      <c r="P282" s="6"/>
    </row>
    <row r="283" spans="2:16" ht="16.2" thickBot="1">
      <c r="B283" s="229"/>
      <c r="C283" s="372" t="s">
        <v>157</v>
      </c>
      <c r="D283" s="281" t="s">
        <v>159</v>
      </c>
      <c r="E283" s="281">
        <v>8</v>
      </c>
      <c r="F283" s="281">
        <v>0</v>
      </c>
      <c r="G283" s="281">
        <f t="shared" si="24"/>
        <v>8</v>
      </c>
      <c r="H283" s="283">
        <v>29.06</v>
      </c>
      <c r="I283" s="283">
        <f>H283*G283</f>
        <v>232.48</v>
      </c>
      <c r="J283" s="295"/>
      <c r="K283" s="318"/>
      <c r="L283" s="291">
        <f>BDI_SERVIÇOS_MATERIAIS!$E$11*I283</f>
        <v>67.774503780064052</v>
      </c>
      <c r="M283" s="348"/>
      <c r="N283" s="281" t="s">
        <v>5</v>
      </c>
      <c r="O283" s="284">
        <v>88267</v>
      </c>
      <c r="P283" s="6"/>
    </row>
    <row r="284" spans="2:16" ht="30.6">
      <c r="B284" s="230" t="s">
        <v>106</v>
      </c>
      <c r="C284" s="437" t="s">
        <v>227</v>
      </c>
      <c r="D284" s="244" t="s">
        <v>8</v>
      </c>
      <c r="E284" s="244">
        <v>1</v>
      </c>
      <c r="F284" s="244">
        <v>0</v>
      </c>
      <c r="G284" s="244">
        <f t="shared" ref="G284:G348" si="25">E284-F284</f>
        <v>1</v>
      </c>
      <c r="H284" s="673">
        <v>150300</v>
      </c>
      <c r="I284" s="673">
        <v>0</v>
      </c>
      <c r="J284" s="670">
        <f>SUM(H284)</f>
        <v>150300</v>
      </c>
      <c r="K284" s="685">
        <f>BDI_SERVIÇOS_MATERIAIS!$E$11*J284</f>
        <v>43816.706461388625</v>
      </c>
      <c r="L284" s="367">
        <f>BDI_SERVIÇOS_MATERIAIS!$E$11*I284</f>
        <v>0</v>
      </c>
      <c r="M284" s="346">
        <f>SUM(J284:K289)</f>
        <v>194116.70646138862</v>
      </c>
      <c r="N284" s="670" t="s">
        <v>12</v>
      </c>
      <c r="O284" s="688">
        <v>44774</v>
      </c>
      <c r="P284" s="6"/>
    </row>
    <row r="285" spans="2:16" ht="15.6">
      <c r="B285" s="231" t="s">
        <v>81</v>
      </c>
      <c r="C285" s="335" t="s">
        <v>457</v>
      </c>
      <c r="D285" s="253" t="s">
        <v>8</v>
      </c>
      <c r="E285" s="253">
        <v>1</v>
      </c>
      <c r="F285" s="253">
        <v>0</v>
      </c>
      <c r="G285" s="253">
        <f t="shared" si="25"/>
        <v>1</v>
      </c>
      <c r="H285" s="674"/>
      <c r="I285" s="674"/>
      <c r="J285" s="671"/>
      <c r="K285" s="686"/>
      <c r="L285" s="276">
        <f>BDI_SERVIÇOS_MATERIAIS!$E$11*I285</f>
        <v>0</v>
      </c>
      <c r="M285" s="347"/>
      <c r="N285" s="671"/>
      <c r="O285" s="689"/>
      <c r="P285" s="6"/>
    </row>
    <row r="286" spans="2:16" ht="15.6">
      <c r="B286" s="231" t="s">
        <v>82</v>
      </c>
      <c r="C286" s="335" t="s">
        <v>23</v>
      </c>
      <c r="D286" s="253" t="s">
        <v>8</v>
      </c>
      <c r="E286" s="253">
        <v>1</v>
      </c>
      <c r="F286" s="253">
        <v>0</v>
      </c>
      <c r="G286" s="253">
        <f t="shared" si="25"/>
        <v>1</v>
      </c>
      <c r="H286" s="674"/>
      <c r="I286" s="674"/>
      <c r="J286" s="671"/>
      <c r="K286" s="686"/>
      <c r="L286" s="276">
        <f>BDI_SERVIÇOS_MATERIAIS!$E$11*I286</f>
        <v>0</v>
      </c>
      <c r="M286" s="347"/>
      <c r="N286" s="671"/>
      <c r="O286" s="689"/>
      <c r="P286" s="6"/>
    </row>
    <row r="287" spans="2:16" ht="15.6">
      <c r="B287" s="231" t="s">
        <v>83</v>
      </c>
      <c r="C287" s="335" t="s">
        <v>35</v>
      </c>
      <c r="D287" s="253" t="s">
        <v>8</v>
      </c>
      <c r="E287" s="253">
        <v>1</v>
      </c>
      <c r="F287" s="253">
        <v>0</v>
      </c>
      <c r="G287" s="253">
        <f t="shared" si="25"/>
        <v>1</v>
      </c>
      <c r="H287" s="674"/>
      <c r="I287" s="674"/>
      <c r="J287" s="671"/>
      <c r="K287" s="686"/>
      <c r="L287" s="276">
        <f>BDI_SERVIÇOS_MATERIAIS!$E$11*I287</f>
        <v>0</v>
      </c>
      <c r="M287" s="347"/>
      <c r="N287" s="671"/>
      <c r="O287" s="689"/>
      <c r="P287" s="6"/>
    </row>
    <row r="288" spans="2:16" ht="15.6">
      <c r="B288" s="231" t="s">
        <v>107</v>
      </c>
      <c r="C288" s="335" t="s">
        <v>28</v>
      </c>
      <c r="D288" s="253" t="s">
        <v>8</v>
      </c>
      <c r="E288" s="253">
        <v>1</v>
      </c>
      <c r="F288" s="253">
        <v>0</v>
      </c>
      <c r="G288" s="253">
        <f t="shared" si="25"/>
        <v>1</v>
      </c>
      <c r="H288" s="674"/>
      <c r="I288" s="674"/>
      <c r="J288" s="671"/>
      <c r="K288" s="686"/>
      <c r="L288" s="276">
        <f>BDI_SERVIÇOS_MATERIAIS!$E$11*I288</f>
        <v>0</v>
      </c>
      <c r="M288" s="347"/>
      <c r="N288" s="671"/>
      <c r="O288" s="689"/>
      <c r="P288" s="6"/>
    </row>
    <row r="289" spans="2:16" ht="16.2" thickBot="1">
      <c r="B289" s="232" t="s">
        <v>108</v>
      </c>
      <c r="C289" s="336" t="s">
        <v>29</v>
      </c>
      <c r="D289" s="281" t="s">
        <v>8</v>
      </c>
      <c r="E289" s="281">
        <v>1</v>
      </c>
      <c r="F289" s="281">
        <v>0</v>
      </c>
      <c r="G289" s="281">
        <f t="shared" si="25"/>
        <v>1</v>
      </c>
      <c r="H289" s="675"/>
      <c r="I289" s="675"/>
      <c r="J289" s="672"/>
      <c r="K289" s="687"/>
      <c r="L289" s="291">
        <f>BDI_SERVIÇOS_MATERIAIS!$E$11*I289</f>
        <v>0</v>
      </c>
      <c r="M289" s="348"/>
      <c r="N289" s="672"/>
      <c r="O289" s="690"/>
      <c r="P289" s="6"/>
    </row>
    <row r="290" spans="2:16" ht="15.6">
      <c r="B290" s="227" t="s">
        <v>109</v>
      </c>
      <c r="C290" s="438" t="s">
        <v>22</v>
      </c>
      <c r="D290" s="244"/>
      <c r="E290" s="244">
        <v>1</v>
      </c>
      <c r="F290" s="244">
        <v>0</v>
      </c>
      <c r="G290" s="244"/>
      <c r="H290" s="287"/>
      <c r="I290" s="288">
        <f>SUM(I291:I293)</f>
        <v>108.08</v>
      </c>
      <c r="J290" s="301">
        <f>SUM(J291:J293)</f>
        <v>4250</v>
      </c>
      <c r="K290" s="412">
        <f>BDI_SERVIÇOS_MATERIAIS!$E$11*J290</f>
        <v>1238.9953590213017</v>
      </c>
      <c r="L290" s="314">
        <f>BDI_SERVIÇOS_MATERIAIS!$E$11*I290</f>
        <v>31.508380800711127</v>
      </c>
      <c r="M290" s="346">
        <f>SUM(I290:L290)</f>
        <v>5628.5837398220128</v>
      </c>
      <c r="N290" s="244"/>
      <c r="O290" s="245"/>
      <c r="P290" s="6"/>
    </row>
    <row r="291" spans="2:16" ht="15.6">
      <c r="B291" s="233"/>
      <c r="C291" s="335" t="s">
        <v>22</v>
      </c>
      <c r="D291" s="253" t="s">
        <v>8</v>
      </c>
      <c r="E291" s="253">
        <v>1</v>
      </c>
      <c r="F291" s="253">
        <v>0</v>
      </c>
      <c r="G291" s="253">
        <f t="shared" si="25"/>
        <v>1</v>
      </c>
      <c r="H291" s="249">
        <v>4250</v>
      </c>
      <c r="I291" s="249"/>
      <c r="J291" s="274">
        <f>G291*H291</f>
        <v>4250</v>
      </c>
      <c r="K291" s="318">
        <f>BDI_SERVIÇOS_MATERIAIS!$E$11*J291</f>
        <v>1238.9953590213017</v>
      </c>
      <c r="L291" s="276"/>
      <c r="M291" s="347"/>
      <c r="N291" s="253" t="s">
        <v>12</v>
      </c>
      <c r="O291" s="623">
        <v>44805</v>
      </c>
      <c r="P291" s="6"/>
    </row>
    <row r="292" spans="2:16" ht="30.6">
      <c r="B292" s="233"/>
      <c r="C292" s="371" t="s">
        <v>180</v>
      </c>
      <c r="D292" s="253" t="s">
        <v>159</v>
      </c>
      <c r="E292" s="253">
        <v>2</v>
      </c>
      <c r="F292" s="253">
        <v>0</v>
      </c>
      <c r="G292" s="253">
        <f t="shared" si="25"/>
        <v>2</v>
      </c>
      <c r="H292" s="249">
        <v>24.98</v>
      </c>
      <c r="I292" s="249">
        <f>H292*G292</f>
        <v>49.96</v>
      </c>
      <c r="J292" s="274"/>
      <c r="K292" s="318"/>
      <c r="L292" s="276">
        <f>BDI_SERVIÇOS_MATERIAIS!$E$11*I292</f>
        <v>14.564754855695114</v>
      </c>
      <c r="M292" s="347"/>
      <c r="N292" s="253" t="s">
        <v>5</v>
      </c>
      <c r="O292" s="254">
        <v>88248</v>
      </c>
      <c r="P292" s="6"/>
    </row>
    <row r="293" spans="2:16" ht="16.2" thickBot="1">
      <c r="B293" s="289"/>
      <c r="C293" s="372" t="s">
        <v>157</v>
      </c>
      <c r="D293" s="281" t="s">
        <v>159</v>
      </c>
      <c r="E293" s="281">
        <v>2</v>
      </c>
      <c r="F293" s="281">
        <v>0</v>
      </c>
      <c r="G293" s="281">
        <f t="shared" si="25"/>
        <v>2</v>
      </c>
      <c r="H293" s="283">
        <v>29.06</v>
      </c>
      <c r="I293" s="283">
        <f>H293*G293</f>
        <v>58.12</v>
      </c>
      <c r="J293" s="295"/>
      <c r="K293" s="321"/>
      <c r="L293" s="291">
        <f>BDI_SERVIÇOS_MATERIAIS!$E$11*I293</f>
        <v>16.943625945016013</v>
      </c>
      <c r="M293" s="348"/>
      <c r="N293" s="281" t="s">
        <v>5</v>
      </c>
      <c r="O293" s="284">
        <v>88267</v>
      </c>
      <c r="P293" s="6"/>
    </row>
    <row r="294" spans="2:16" ht="31.2" thickBot="1">
      <c r="B294" s="233" t="s">
        <v>110</v>
      </c>
      <c r="C294" s="439" t="s">
        <v>228</v>
      </c>
      <c r="D294" s="379" t="s">
        <v>8</v>
      </c>
      <c r="E294" s="379">
        <v>1</v>
      </c>
      <c r="F294" s="379">
        <v>1</v>
      </c>
      <c r="G294" s="379">
        <f t="shared" si="25"/>
        <v>0</v>
      </c>
      <c r="H294" s="380">
        <v>0</v>
      </c>
      <c r="I294" s="380"/>
      <c r="J294" s="440">
        <f>H294*G294</f>
        <v>0</v>
      </c>
      <c r="K294" s="441">
        <f>BDI_SERVIÇOS_MATERIAIS!$E$11*J294</f>
        <v>0</v>
      </c>
      <c r="L294" s="395">
        <f>BDI_SERVIÇOS_MATERIAIS!$E$11*I294</f>
        <v>0</v>
      </c>
      <c r="M294" s="442"/>
      <c r="N294" s="379" t="s">
        <v>428</v>
      </c>
      <c r="O294" s="384"/>
      <c r="P294" s="6"/>
    </row>
    <row r="295" spans="2:16" ht="15.6">
      <c r="B295" s="285" t="s">
        <v>111</v>
      </c>
      <c r="C295" s="286" t="s">
        <v>24</v>
      </c>
      <c r="D295" s="253" t="s">
        <v>8</v>
      </c>
      <c r="E295" s="244">
        <v>1</v>
      </c>
      <c r="F295" s="244">
        <v>0</v>
      </c>
      <c r="G295" s="244"/>
      <c r="H295" s="287"/>
      <c r="I295" s="288">
        <f>SUM(I296:I298)</f>
        <v>108.08</v>
      </c>
      <c r="J295" s="301">
        <f>SUM(J296:J298)</f>
        <v>1343.7</v>
      </c>
      <c r="K295" s="339">
        <f>BDI_SERVIÇOS_MATERIAIS!$E$11*J295</f>
        <v>391.72660327457015</v>
      </c>
      <c r="L295" s="314">
        <f>BDI_SERVIÇOS_MATERIAIS!$E$11*I295</f>
        <v>31.508380800711127</v>
      </c>
      <c r="M295" s="346">
        <f>SUM(I295:L295)</f>
        <v>1875.0149840752813</v>
      </c>
      <c r="N295" s="244"/>
      <c r="O295" s="245"/>
      <c r="P295" s="6"/>
    </row>
    <row r="296" spans="2:16" ht="15.6">
      <c r="B296" s="233"/>
      <c r="C296" s="335" t="s">
        <v>24</v>
      </c>
      <c r="D296" s="253" t="s">
        <v>8</v>
      </c>
      <c r="E296" s="253">
        <v>1</v>
      </c>
      <c r="F296" s="253">
        <v>0</v>
      </c>
      <c r="G296" s="253">
        <f t="shared" si="25"/>
        <v>1</v>
      </c>
      <c r="H296" s="249">
        <v>1343.7</v>
      </c>
      <c r="I296" s="249"/>
      <c r="J296" s="274">
        <f>G296*H296</f>
        <v>1343.7</v>
      </c>
      <c r="K296" s="318">
        <f>BDI_SERVIÇOS_MATERIAIS!$E$11*J296</f>
        <v>391.72660327457015</v>
      </c>
      <c r="L296" s="276"/>
      <c r="M296" s="347"/>
      <c r="N296" s="253" t="s">
        <v>12</v>
      </c>
      <c r="O296" s="623">
        <v>44805</v>
      </c>
      <c r="P296" s="6"/>
    </row>
    <row r="297" spans="2:16" ht="30.6">
      <c r="B297" s="233"/>
      <c r="C297" s="371" t="s">
        <v>180</v>
      </c>
      <c r="D297" s="253" t="s">
        <v>159</v>
      </c>
      <c r="E297" s="253">
        <v>2</v>
      </c>
      <c r="F297" s="253">
        <v>0</v>
      </c>
      <c r="G297" s="253">
        <f>E297-F297</f>
        <v>2</v>
      </c>
      <c r="H297" s="249">
        <v>24.98</v>
      </c>
      <c r="I297" s="249">
        <f>H297*G297</f>
        <v>49.96</v>
      </c>
      <c r="J297" s="274"/>
      <c r="K297" s="318"/>
      <c r="L297" s="276">
        <f>BDI_SERVIÇOS_MATERIAIS!$E$11*I297</f>
        <v>14.564754855695114</v>
      </c>
      <c r="M297" s="347"/>
      <c r="N297" s="253" t="s">
        <v>5</v>
      </c>
      <c r="O297" s="254">
        <v>88248</v>
      </c>
      <c r="P297" s="6"/>
    </row>
    <row r="298" spans="2:16" ht="16.2" thickBot="1">
      <c r="B298" s="289"/>
      <c r="C298" s="372" t="s">
        <v>157</v>
      </c>
      <c r="D298" s="281" t="s">
        <v>159</v>
      </c>
      <c r="E298" s="281">
        <v>2</v>
      </c>
      <c r="F298" s="281"/>
      <c r="G298" s="281">
        <f t="shared" si="25"/>
        <v>2</v>
      </c>
      <c r="H298" s="283">
        <v>29.06</v>
      </c>
      <c r="I298" s="283">
        <f>H298*G298</f>
        <v>58.12</v>
      </c>
      <c r="J298" s="295"/>
      <c r="K298" s="321"/>
      <c r="L298" s="291">
        <f>BDI_SERVIÇOS_MATERIAIS!$E$11*I298</f>
        <v>16.943625945016013</v>
      </c>
      <c r="M298" s="348"/>
      <c r="N298" s="281" t="s">
        <v>616</v>
      </c>
      <c r="O298" s="284">
        <v>88267</v>
      </c>
      <c r="P298" s="6"/>
    </row>
    <row r="299" spans="2:16" ht="15.6">
      <c r="B299" s="360" t="s">
        <v>112</v>
      </c>
      <c r="C299" s="438" t="s">
        <v>25</v>
      </c>
      <c r="D299" s="244" t="s">
        <v>8</v>
      </c>
      <c r="E299" s="244">
        <v>1</v>
      </c>
      <c r="F299" s="244"/>
      <c r="G299" s="244"/>
      <c r="H299" s="287"/>
      <c r="I299" s="288">
        <f>SUM(I300:I303)</f>
        <v>104.64</v>
      </c>
      <c r="J299" s="301">
        <f>SUM(J300:J303)</f>
        <v>661.49954166666669</v>
      </c>
      <c r="K299" s="339">
        <f>BDI_SERVIÇOS_MATERIAIS!$E$11*J299</f>
        <v>192.84584991052193</v>
      </c>
      <c r="L299" s="314">
        <f>BDI_SERVIÇOS_MATERIAIS!$E$11*I299</f>
        <v>30.505523380703298</v>
      </c>
      <c r="M299" s="346">
        <f>SUM(I299:L299)</f>
        <v>989.49091495789185</v>
      </c>
      <c r="N299" s="244"/>
      <c r="O299" s="245"/>
      <c r="P299" s="6"/>
    </row>
    <row r="300" spans="2:16" ht="30.6">
      <c r="B300" s="360"/>
      <c r="C300" s="443" t="s">
        <v>434</v>
      </c>
      <c r="D300" s="253" t="s">
        <v>435</v>
      </c>
      <c r="E300" s="279">
        <f>74.69/1.44</f>
        <v>51.868055555555557</v>
      </c>
      <c r="F300" s="253">
        <v>0</v>
      </c>
      <c r="G300" s="279">
        <f t="shared" si="25"/>
        <v>51.868055555555557</v>
      </c>
      <c r="H300" s="249">
        <v>11.19</v>
      </c>
      <c r="I300" s="249"/>
      <c r="J300" s="274">
        <f>G300*H300</f>
        <v>580.40354166666668</v>
      </c>
      <c r="K300" s="318">
        <f>BDI_SERVIÇOS_MATERIAIS!$E$11*J300</f>
        <v>169.20406929047687</v>
      </c>
      <c r="L300" s="276"/>
      <c r="M300" s="347"/>
      <c r="N300" s="253" t="s">
        <v>5</v>
      </c>
      <c r="O300" s="254">
        <v>1332</v>
      </c>
      <c r="P300" s="6"/>
    </row>
    <row r="301" spans="2:16" ht="15.6">
      <c r="B301" s="360"/>
      <c r="C301" s="443" t="s">
        <v>436</v>
      </c>
      <c r="D301" s="277" t="s">
        <v>435</v>
      </c>
      <c r="E301" s="277">
        <v>7.44</v>
      </c>
      <c r="F301" s="277">
        <v>0</v>
      </c>
      <c r="G301" s="277">
        <f t="shared" si="25"/>
        <v>7.44</v>
      </c>
      <c r="H301" s="341">
        <v>10.9</v>
      </c>
      <c r="I301" s="341"/>
      <c r="J301" s="276">
        <f>H301*G301</f>
        <v>81.096000000000004</v>
      </c>
      <c r="K301" s="318">
        <f>BDI_SERVIÇOS_MATERIAIS!$E$11*J301</f>
        <v>23.641780620045054</v>
      </c>
      <c r="L301" s="276"/>
      <c r="M301" s="444"/>
      <c r="N301" s="277" t="s">
        <v>5</v>
      </c>
      <c r="O301" s="254">
        <v>4777</v>
      </c>
      <c r="P301" s="6"/>
    </row>
    <row r="302" spans="2:16" ht="15.6">
      <c r="B302" s="360"/>
      <c r="C302" s="443" t="s">
        <v>433</v>
      </c>
      <c r="D302" s="253" t="s">
        <v>159</v>
      </c>
      <c r="E302" s="253">
        <v>2</v>
      </c>
      <c r="F302" s="253">
        <v>0</v>
      </c>
      <c r="G302" s="253">
        <f t="shared" si="25"/>
        <v>2</v>
      </c>
      <c r="H302" s="249">
        <v>29.6</v>
      </c>
      <c r="I302" s="249">
        <f>G302*H302</f>
        <v>59.2</v>
      </c>
      <c r="J302" s="253"/>
      <c r="K302" s="318"/>
      <c r="L302" s="276">
        <f>BDI_SERVIÇOS_MATERIAIS!$E$11*I302</f>
        <v>17.258476530367311</v>
      </c>
      <c r="M302" s="347"/>
      <c r="N302" s="253" t="s">
        <v>5</v>
      </c>
      <c r="O302" s="254">
        <v>88317</v>
      </c>
      <c r="P302" s="6"/>
    </row>
    <row r="303" spans="2:16" ht="16.2" thickBot="1">
      <c r="B303" s="391"/>
      <c r="C303" s="280" t="s">
        <v>158</v>
      </c>
      <c r="D303" s="281" t="s">
        <v>159</v>
      </c>
      <c r="E303" s="281">
        <v>2</v>
      </c>
      <c r="F303" s="281">
        <v>0</v>
      </c>
      <c r="G303" s="281">
        <f t="shared" si="25"/>
        <v>2</v>
      </c>
      <c r="H303" s="283">
        <v>22.72</v>
      </c>
      <c r="I303" s="283">
        <f>H303*G303</f>
        <v>45.44</v>
      </c>
      <c r="J303" s="281"/>
      <c r="K303" s="321"/>
      <c r="L303" s="291">
        <f>BDI_SERVIÇOS_MATERIAIS!$E$11*I303</f>
        <v>13.247046850335988</v>
      </c>
      <c r="M303" s="348"/>
      <c r="N303" s="281" t="s">
        <v>5</v>
      </c>
      <c r="O303" s="284">
        <v>88316</v>
      </c>
      <c r="P303" s="6"/>
    </row>
    <row r="304" spans="2:16" ht="15.6">
      <c r="B304" s="233" t="s">
        <v>113</v>
      </c>
      <c r="C304" s="286" t="s">
        <v>26</v>
      </c>
      <c r="D304" s="253" t="s">
        <v>8</v>
      </c>
      <c r="E304" s="253">
        <v>1</v>
      </c>
      <c r="F304" s="244"/>
      <c r="G304" s="244"/>
      <c r="H304" s="287"/>
      <c r="I304" s="288">
        <f>SUM(I305:I307)</f>
        <v>216.16</v>
      </c>
      <c r="J304" s="301">
        <f>SUM(J305:J307)</f>
        <v>14100</v>
      </c>
      <c r="K304" s="339">
        <f>BDI_SERVIÇOS_MATERIAIS!$E$11*J304</f>
        <v>4110.5493087530249</v>
      </c>
      <c r="L304" s="314">
        <f>BDI_SERVIÇOS_MATERIAIS!$E$11*I304</f>
        <v>63.016761601422253</v>
      </c>
      <c r="M304" s="346">
        <f>SUM(I304:L304)</f>
        <v>18489.726070354445</v>
      </c>
      <c r="N304" s="244"/>
      <c r="O304" s="245"/>
      <c r="P304" s="6"/>
    </row>
    <row r="305" spans="2:16" ht="15.6">
      <c r="B305" s="233"/>
      <c r="C305" s="335" t="s">
        <v>26</v>
      </c>
      <c r="D305" s="253" t="s">
        <v>8</v>
      </c>
      <c r="E305" s="253">
        <v>1</v>
      </c>
      <c r="F305" s="253">
        <v>0</v>
      </c>
      <c r="G305" s="253">
        <f t="shared" si="25"/>
        <v>1</v>
      </c>
      <c r="H305" s="249">
        <v>14100</v>
      </c>
      <c r="I305" s="249"/>
      <c r="J305" s="274">
        <f>G305*H305</f>
        <v>14100</v>
      </c>
      <c r="K305" s="318">
        <f>BDI_SERVIÇOS_MATERIAIS!$E$11*J305</f>
        <v>4110.5493087530249</v>
      </c>
      <c r="L305" s="276"/>
      <c r="M305" s="347"/>
      <c r="N305" s="253" t="s">
        <v>12</v>
      </c>
      <c r="O305" s="623">
        <v>44805</v>
      </c>
      <c r="P305" s="6"/>
    </row>
    <row r="306" spans="2:16" ht="30.6">
      <c r="B306" s="233"/>
      <c r="C306" s="443" t="s">
        <v>180</v>
      </c>
      <c r="D306" s="253" t="s">
        <v>159</v>
      </c>
      <c r="E306" s="253">
        <v>4</v>
      </c>
      <c r="F306" s="253">
        <v>0</v>
      </c>
      <c r="G306" s="253">
        <f t="shared" si="25"/>
        <v>4</v>
      </c>
      <c r="H306" s="249">
        <v>24.98</v>
      </c>
      <c r="I306" s="249">
        <f>H306*G306</f>
        <v>99.92</v>
      </c>
      <c r="J306" s="274"/>
      <c r="K306" s="318">
        <f>BDI_SERVIÇOS_MATERIAIS!$E$11*J306</f>
        <v>0</v>
      </c>
      <c r="L306" s="276">
        <f>BDI_SERVIÇOS_MATERIAIS!$E$11*I306</f>
        <v>29.129509711390227</v>
      </c>
      <c r="M306" s="347"/>
      <c r="N306" s="253" t="s">
        <v>5</v>
      </c>
      <c r="O306" s="254">
        <v>88248</v>
      </c>
      <c r="P306" s="6"/>
    </row>
    <row r="307" spans="2:16" ht="16.2" thickBot="1">
      <c r="B307" s="233"/>
      <c r="C307" s="445" t="s">
        <v>157</v>
      </c>
      <c r="D307" s="281" t="s">
        <v>159</v>
      </c>
      <c r="E307" s="281">
        <v>4</v>
      </c>
      <c r="F307" s="281">
        <v>0</v>
      </c>
      <c r="G307" s="281">
        <f t="shared" si="25"/>
        <v>4</v>
      </c>
      <c r="H307" s="283">
        <v>29.06</v>
      </c>
      <c r="I307" s="283">
        <f>H307*G307</f>
        <v>116.24</v>
      </c>
      <c r="J307" s="295"/>
      <c r="K307" s="321">
        <f>BDI_SERVIÇOS_MATERIAIS!$E$11*J307</f>
        <v>0</v>
      </c>
      <c r="L307" s="291">
        <f>BDI_SERVIÇOS_MATERIAIS!$E$11*I307</f>
        <v>33.887251890032026</v>
      </c>
      <c r="M307" s="348"/>
      <c r="N307" s="281" t="s">
        <v>5</v>
      </c>
      <c r="O307" s="284">
        <v>88267</v>
      </c>
      <c r="P307" s="6"/>
    </row>
    <row r="308" spans="2:16" ht="16.2" thickBot="1">
      <c r="B308" s="285" t="s">
        <v>114</v>
      </c>
      <c r="C308" s="286" t="s">
        <v>27</v>
      </c>
      <c r="D308" s="244" t="s">
        <v>8</v>
      </c>
      <c r="E308" s="244">
        <v>1</v>
      </c>
      <c r="F308" s="244"/>
      <c r="G308" s="244"/>
      <c r="H308" s="446"/>
      <c r="I308" s="447">
        <f>SUM(I310:I311)</f>
        <v>432.32</v>
      </c>
      <c r="J308" s="448">
        <f>SUM(J309:J311)</f>
        <v>12065.92</v>
      </c>
      <c r="K308" s="339">
        <f>BDI_SERVIÇOS_MATERIAIS!$E$11*J308</f>
        <v>3517.5573840758366</v>
      </c>
      <c r="L308" s="314">
        <f>BDI_SERVIÇOS_MATERIAIS!$E$11*I308</f>
        <v>126.03352320284451</v>
      </c>
      <c r="M308" s="346">
        <f>SUM(I308:L308)</f>
        <v>16141.830907278681</v>
      </c>
      <c r="N308" s="244" t="s">
        <v>12</v>
      </c>
      <c r="O308" s="245"/>
      <c r="P308" s="6"/>
    </row>
    <row r="309" spans="2:16" ht="15.6">
      <c r="B309" s="233"/>
      <c r="C309" s="449" t="s">
        <v>556</v>
      </c>
      <c r="D309" s="244" t="s">
        <v>8</v>
      </c>
      <c r="E309" s="269">
        <v>1</v>
      </c>
      <c r="F309" s="269">
        <v>0</v>
      </c>
      <c r="G309" s="269">
        <f t="shared" si="25"/>
        <v>1</v>
      </c>
      <c r="H309" s="249">
        <v>12065.92</v>
      </c>
      <c r="I309" s="302"/>
      <c r="J309" s="274">
        <f>H309*E309</f>
        <v>12065.92</v>
      </c>
      <c r="K309" s="339"/>
      <c r="L309" s="314"/>
      <c r="M309" s="350"/>
      <c r="N309" s="269" t="s">
        <v>3</v>
      </c>
      <c r="O309" s="632">
        <v>44805</v>
      </c>
      <c r="P309" s="6"/>
    </row>
    <row r="310" spans="2:16" ht="30.6">
      <c r="B310" s="228"/>
      <c r="C310" s="443" t="s">
        <v>180</v>
      </c>
      <c r="D310" s="253" t="s">
        <v>159</v>
      </c>
      <c r="E310" s="253">
        <v>8</v>
      </c>
      <c r="F310" s="253">
        <v>0</v>
      </c>
      <c r="G310" s="253">
        <f t="shared" si="25"/>
        <v>8</v>
      </c>
      <c r="H310" s="249">
        <v>24.98</v>
      </c>
      <c r="I310" s="249">
        <f>G310*H310</f>
        <v>199.84</v>
      </c>
      <c r="J310" s="274"/>
      <c r="K310" s="318"/>
      <c r="L310" s="276">
        <f>BDI_SERVIÇOS_MATERIAIS!$E$11*I310</f>
        <v>58.259019422780455</v>
      </c>
      <c r="M310" s="347"/>
      <c r="N310" s="253" t="s">
        <v>5</v>
      </c>
      <c r="O310" s="254">
        <v>88248</v>
      </c>
      <c r="P310" s="6"/>
    </row>
    <row r="311" spans="2:16" ht="16.2" thickBot="1">
      <c r="B311" s="229"/>
      <c r="C311" s="445" t="s">
        <v>157</v>
      </c>
      <c r="D311" s="281" t="s">
        <v>159</v>
      </c>
      <c r="E311" s="281">
        <v>8</v>
      </c>
      <c r="F311" s="281">
        <v>0</v>
      </c>
      <c r="G311" s="281">
        <f t="shared" si="25"/>
        <v>8</v>
      </c>
      <c r="H311" s="283">
        <v>29.06</v>
      </c>
      <c r="I311" s="283">
        <f>G311*H311</f>
        <v>232.48</v>
      </c>
      <c r="J311" s="295"/>
      <c r="K311" s="321"/>
      <c r="L311" s="291">
        <f>BDI_SERVIÇOS_MATERIAIS!$E$11*I311</f>
        <v>67.774503780064052</v>
      </c>
      <c r="M311" s="348"/>
      <c r="N311" s="281" t="s">
        <v>5</v>
      </c>
      <c r="O311" s="284">
        <v>88267</v>
      </c>
      <c r="P311" s="6"/>
    </row>
    <row r="312" spans="2:16" ht="31.2" thickBot="1">
      <c r="B312" s="450" t="s">
        <v>115</v>
      </c>
      <c r="C312" s="451" t="s">
        <v>231</v>
      </c>
      <c r="D312" s="379" t="s">
        <v>16</v>
      </c>
      <c r="E312" s="379">
        <v>12</v>
      </c>
      <c r="F312" s="379">
        <v>0</v>
      </c>
      <c r="G312" s="379">
        <f t="shared" si="25"/>
        <v>12</v>
      </c>
      <c r="H312" s="380">
        <v>31.26</v>
      </c>
      <c r="I312" s="452">
        <f>G312*H312</f>
        <v>375.12</v>
      </c>
      <c r="J312" s="381">
        <f>G312*H312</f>
        <v>375.12</v>
      </c>
      <c r="K312" s="396">
        <f>BDI_SERVIÇOS_MATERIAIS!$E$11*J312</f>
        <v>109.35810331201664</v>
      </c>
      <c r="L312" s="374">
        <f>BDI_SERVIÇOS_MATERIAIS!$E$11*I312</f>
        <v>109.35810331201664</v>
      </c>
      <c r="M312" s="453">
        <f>SUM(I312:L312)</f>
        <v>968.95620662403326</v>
      </c>
      <c r="N312" s="379" t="s">
        <v>5</v>
      </c>
      <c r="O312" s="384">
        <v>21009</v>
      </c>
      <c r="P312" s="6"/>
    </row>
    <row r="313" spans="2:16" ht="30.6">
      <c r="B313" s="227" t="s">
        <v>116</v>
      </c>
      <c r="C313" s="454" t="s">
        <v>398</v>
      </c>
      <c r="D313" s="244" t="s">
        <v>18</v>
      </c>
      <c r="E313" s="244">
        <v>12</v>
      </c>
      <c r="F313" s="244"/>
      <c r="G313" s="244"/>
      <c r="H313" s="287"/>
      <c r="I313" s="288">
        <f>SUM(I314:I316)</f>
        <v>564.17759999999998</v>
      </c>
      <c r="J313" s="301">
        <f>SUM(J314:J316)</f>
        <v>6162.24</v>
      </c>
      <c r="K313" s="339">
        <f>BDI_SERVIÇOS_MATERIAIS!$E$11*J313</f>
        <v>1796.4674732177473</v>
      </c>
      <c r="L313" s="314">
        <f>BDI_SERVIÇOS_MATERIAIS!$E$11*I313</f>
        <v>164.47374777971208</v>
      </c>
      <c r="M313" s="346">
        <f>SUM(I313:L313)</f>
        <v>8687.3588209974587</v>
      </c>
      <c r="N313" s="244"/>
      <c r="O313" s="245"/>
      <c r="P313" s="6"/>
    </row>
    <row r="314" spans="2:16" ht="15.6">
      <c r="B314" s="228"/>
      <c r="C314" s="335" t="s">
        <v>554</v>
      </c>
      <c r="D314" s="253" t="s">
        <v>18</v>
      </c>
      <c r="E314" s="253">
        <f>1*E313</f>
        <v>12</v>
      </c>
      <c r="F314" s="253">
        <v>0</v>
      </c>
      <c r="G314" s="253">
        <f>E314-F314</f>
        <v>12</v>
      </c>
      <c r="H314" s="249">
        <v>513.52</v>
      </c>
      <c r="I314" s="249"/>
      <c r="J314" s="274">
        <f>G314*H314</f>
        <v>6162.24</v>
      </c>
      <c r="K314" s="318">
        <f>BDI_SERVIÇOS_MATERIAIS!$E$11*J314</f>
        <v>1796.4674732177473</v>
      </c>
      <c r="L314" s="276"/>
      <c r="M314" s="347"/>
      <c r="N314" s="253" t="s">
        <v>12</v>
      </c>
      <c r="O314" s="623">
        <v>44774</v>
      </c>
      <c r="P314" s="6"/>
    </row>
    <row r="315" spans="2:16" ht="30.6">
      <c r="B315" s="228"/>
      <c r="C315" s="443" t="s">
        <v>180</v>
      </c>
      <c r="D315" s="253" t="s">
        <v>159</v>
      </c>
      <c r="E315" s="253">
        <f>0.87*E313</f>
        <v>10.44</v>
      </c>
      <c r="F315" s="253">
        <v>0</v>
      </c>
      <c r="G315" s="253">
        <f>E315-F315</f>
        <v>10.44</v>
      </c>
      <c r="H315" s="249">
        <v>24.98</v>
      </c>
      <c r="I315" s="249">
        <f>G315*H315</f>
        <v>260.7912</v>
      </c>
      <c r="J315" s="274"/>
      <c r="K315" s="318"/>
      <c r="L315" s="276">
        <f>BDI_SERVIÇOS_MATERIAIS!$E$11*I315</f>
        <v>76.028020346728496</v>
      </c>
      <c r="M315" s="347"/>
      <c r="N315" s="253" t="s">
        <v>5</v>
      </c>
      <c r="O315" s="254">
        <v>88248</v>
      </c>
      <c r="P315" s="6"/>
    </row>
    <row r="316" spans="2:16" ht="16.2" thickBot="1">
      <c r="B316" s="228"/>
      <c r="C316" s="445" t="s">
        <v>157</v>
      </c>
      <c r="D316" s="281" t="s">
        <v>159</v>
      </c>
      <c r="E316" s="281">
        <f>0.87*E313</f>
        <v>10.44</v>
      </c>
      <c r="F316" s="281">
        <v>0</v>
      </c>
      <c r="G316" s="281">
        <f>E316-F316</f>
        <v>10.44</v>
      </c>
      <c r="H316" s="283">
        <v>29.06</v>
      </c>
      <c r="I316" s="283">
        <f>G316*H316</f>
        <v>303.38639999999998</v>
      </c>
      <c r="J316" s="295"/>
      <c r="K316" s="321"/>
      <c r="L316" s="291">
        <f>BDI_SERVIÇOS_MATERIAIS!$E$11*I316</f>
        <v>88.445727432983588</v>
      </c>
      <c r="M316" s="348"/>
      <c r="N316" s="281" t="s">
        <v>5</v>
      </c>
      <c r="O316" s="284">
        <v>88267</v>
      </c>
      <c r="P316" s="6"/>
    </row>
    <row r="317" spans="2:16" ht="31.2">
      <c r="B317" s="227" t="s">
        <v>117</v>
      </c>
      <c r="C317" s="290" t="s">
        <v>30</v>
      </c>
      <c r="D317" s="253" t="s">
        <v>8</v>
      </c>
      <c r="E317" s="253">
        <v>4</v>
      </c>
      <c r="F317" s="244"/>
      <c r="G317" s="244"/>
      <c r="H317" s="287"/>
      <c r="I317" s="288">
        <f>SUM(I318:I320)</f>
        <v>324.24</v>
      </c>
      <c r="J317" s="301">
        <f>SUM(J318:J320)</f>
        <v>16491.28</v>
      </c>
      <c r="K317" s="329">
        <f>BDI_SERVIÇOS_MATERIAIS!$E$11*J317</f>
        <v>4807.6751492519552</v>
      </c>
      <c r="L317" s="338">
        <f>BDI_SERVIÇOS_MATERIAIS!$E$11*I317</f>
        <v>94.525142402133383</v>
      </c>
      <c r="M317" s="346">
        <f>SUM(I317:L317)</f>
        <v>21717.720291654088</v>
      </c>
      <c r="N317" s="244"/>
      <c r="O317" s="245"/>
      <c r="P317" s="6"/>
    </row>
    <row r="318" spans="2:16" ht="30.6">
      <c r="B318" s="228"/>
      <c r="C318" s="273" t="s">
        <v>30</v>
      </c>
      <c r="D318" s="253" t="s">
        <v>8</v>
      </c>
      <c r="E318" s="253">
        <v>4</v>
      </c>
      <c r="F318" s="253">
        <v>0</v>
      </c>
      <c r="G318" s="253">
        <f t="shared" si="25"/>
        <v>4</v>
      </c>
      <c r="H318" s="249">
        <v>4122.82</v>
      </c>
      <c r="I318" s="249"/>
      <c r="J318" s="274">
        <f>G318*H318</f>
        <v>16491.28</v>
      </c>
      <c r="K318" s="318">
        <f>BDI_SERVIÇOS_MATERIAIS!$E$11*J318</f>
        <v>4807.6751492519552</v>
      </c>
      <c r="L318" s="276"/>
      <c r="M318" s="347"/>
      <c r="N318" s="253" t="s">
        <v>12</v>
      </c>
      <c r="O318" s="623">
        <v>44805</v>
      </c>
      <c r="P318" s="6"/>
    </row>
    <row r="319" spans="2:16" ht="30.6">
      <c r="B319" s="228"/>
      <c r="C319" s="371" t="s">
        <v>180</v>
      </c>
      <c r="D319" s="253" t="s">
        <v>159</v>
      </c>
      <c r="E319" s="253">
        <v>6</v>
      </c>
      <c r="F319" s="253">
        <v>0</v>
      </c>
      <c r="G319" s="253">
        <f t="shared" si="25"/>
        <v>6</v>
      </c>
      <c r="H319" s="249">
        <v>24.98</v>
      </c>
      <c r="I319" s="249">
        <f>H319*G319</f>
        <v>149.88</v>
      </c>
      <c r="J319" s="274"/>
      <c r="K319" s="318"/>
      <c r="L319" s="276">
        <f>BDI_SERVIÇOS_MATERIAIS!$E$11*I319</f>
        <v>43.694264567085341</v>
      </c>
      <c r="M319" s="347"/>
      <c r="N319" s="253" t="s">
        <v>5</v>
      </c>
      <c r="O319" s="254">
        <v>88248</v>
      </c>
      <c r="P319" s="6"/>
    </row>
    <row r="320" spans="2:16" ht="16.2" thickBot="1">
      <c r="B320" s="229"/>
      <c r="C320" s="372" t="s">
        <v>157</v>
      </c>
      <c r="D320" s="281" t="s">
        <v>159</v>
      </c>
      <c r="E320" s="281">
        <v>6</v>
      </c>
      <c r="F320" s="281">
        <v>0</v>
      </c>
      <c r="G320" s="281">
        <f t="shared" si="25"/>
        <v>6</v>
      </c>
      <c r="H320" s="283">
        <v>29.06</v>
      </c>
      <c r="I320" s="283">
        <f>H320*G320</f>
        <v>174.35999999999999</v>
      </c>
      <c r="J320" s="295"/>
      <c r="K320" s="321"/>
      <c r="L320" s="291">
        <f>BDI_SERVIÇOS_MATERIAIS!$E$11*I320</f>
        <v>50.830877835048035</v>
      </c>
      <c r="M320" s="348"/>
      <c r="N320" s="281" t="s">
        <v>5</v>
      </c>
      <c r="O320" s="284">
        <v>88267</v>
      </c>
      <c r="P320" s="6"/>
    </row>
    <row r="321" spans="2:16" ht="15.6">
      <c r="B321" s="227" t="s">
        <v>118</v>
      </c>
      <c r="C321" s="438" t="s">
        <v>31</v>
      </c>
      <c r="D321" s="253" t="s">
        <v>8</v>
      </c>
      <c r="E321" s="253">
        <v>1</v>
      </c>
      <c r="F321" s="244"/>
      <c r="G321" s="244"/>
      <c r="H321" s="287"/>
      <c r="I321" s="288">
        <f>SUM(I322:I324)</f>
        <v>324.24</v>
      </c>
      <c r="J321" s="301">
        <f>SUM(J322:J324)</f>
        <v>2900</v>
      </c>
      <c r="K321" s="329">
        <f>BDI_SERVIÇOS_MATERIAIS!$E$11*J321</f>
        <v>845.43212733218229</v>
      </c>
      <c r="L321" s="338">
        <f>BDI_SERVIÇOS_MATERIAIS!$E$11*I321</f>
        <v>94.525142402133383</v>
      </c>
      <c r="M321" s="346">
        <f>SUM(I321:L321)</f>
        <v>4164.1972697343153</v>
      </c>
      <c r="N321" s="244"/>
      <c r="O321" s="245"/>
      <c r="P321" s="6"/>
    </row>
    <row r="322" spans="2:16" ht="15.6">
      <c r="B322" s="228"/>
      <c r="C322" s="335" t="s">
        <v>31</v>
      </c>
      <c r="D322" s="253" t="s">
        <v>8</v>
      </c>
      <c r="E322" s="253">
        <v>1</v>
      </c>
      <c r="F322" s="253">
        <v>0</v>
      </c>
      <c r="G322" s="253">
        <f t="shared" si="25"/>
        <v>1</v>
      </c>
      <c r="H322" s="249">
        <v>2900</v>
      </c>
      <c r="I322" s="249"/>
      <c r="J322" s="274">
        <f>G322*H322</f>
        <v>2900</v>
      </c>
      <c r="K322" s="318">
        <f>BDI_SERVIÇOS_MATERIAIS!$E$11*J322</f>
        <v>845.43212733218229</v>
      </c>
      <c r="L322" s="276"/>
      <c r="M322" s="347"/>
      <c r="N322" s="253" t="s">
        <v>12</v>
      </c>
      <c r="O322" s="623">
        <v>44805</v>
      </c>
      <c r="P322" s="6"/>
    </row>
    <row r="323" spans="2:16" ht="30.6">
      <c r="B323" s="228"/>
      <c r="C323" s="371" t="s">
        <v>180</v>
      </c>
      <c r="D323" s="253" t="s">
        <v>159</v>
      </c>
      <c r="E323" s="253">
        <v>6</v>
      </c>
      <c r="F323" s="253">
        <v>0</v>
      </c>
      <c r="G323" s="253">
        <f t="shared" si="25"/>
        <v>6</v>
      </c>
      <c r="H323" s="249">
        <v>24.98</v>
      </c>
      <c r="I323" s="249">
        <f>H323*G323</f>
        <v>149.88</v>
      </c>
      <c r="J323" s="274"/>
      <c r="K323" s="318"/>
      <c r="L323" s="276">
        <f>BDI_SERVIÇOS_MATERIAIS!$E$11*I323</f>
        <v>43.694264567085341</v>
      </c>
      <c r="M323" s="347"/>
      <c r="N323" s="253" t="s">
        <v>5</v>
      </c>
      <c r="O323" s="254">
        <v>88248</v>
      </c>
      <c r="P323" s="6"/>
    </row>
    <row r="324" spans="2:16" ht="16.2" thickBot="1">
      <c r="B324" s="229"/>
      <c r="C324" s="372" t="s">
        <v>157</v>
      </c>
      <c r="D324" s="281" t="s">
        <v>159</v>
      </c>
      <c r="E324" s="281">
        <v>6</v>
      </c>
      <c r="F324" s="281">
        <v>0</v>
      </c>
      <c r="G324" s="281">
        <f t="shared" si="25"/>
        <v>6</v>
      </c>
      <c r="H324" s="283">
        <v>29.06</v>
      </c>
      <c r="I324" s="283">
        <f>H324*G324</f>
        <v>174.35999999999999</v>
      </c>
      <c r="J324" s="295"/>
      <c r="K324" s="321"/>
      <c r="L324" s="291">
        <f>BDI_SERVIÇOS_MATERIAIS!$E$11*I324</f>
        <v>50.830877835048035</v>
      </c>
      <c r="M324" s="348"/>
      <c r="N324" s="281" t="s">
        <v>5</v>
      </c>
      <c r="O324" s="284">
        <v>88267</v>
      </c>
      <c r="P324" s="6"/>
    </row>
    <row r="325" spans="2:16" ht="15.6">
      <c r="B325" s="227" t="s">
        <v>119</v>
      </c>
      <c r="C325" s="286" t="s">
        <v>32</v>
      </c>
      <c r="D325" s="253" t="s">
        <v>8</v>
      </c>
      <c r="E325" s="253">
        <v>1</v>
      </c>
      <c r="F325" s="244"/>
      <c r="G325" s="244"/>
      <c r="H325" s="287"/>
      <c r="I325" s="288">
        <f>SUM(I326:I328)</f>
        <v>108.08</v>
      </c>
      <c r="J325" s="301">
        <f>SUM(J326:J328)</f>
        <v>253.39</v>
      </c>
      <c r="K325" s="339">
        <f>BDI_SERVIÇOS_MATERIAIS!$E$11*J325</f>
        <v>73.870360946448855</v>
      </c>
      <c r="L325" s="314">
        <f>BDI_SERVIÇOS_MATERIAIS!$E$11*I325</f>
        <v>31.508380800711127</v>
      </c>
      <c r="M325" s="346">
        <f>SUM(I325:L325)</f>
        <v>466.84874174715992</v>
      </c>
      <c r="N325" s="244"/>
      <c r="O325" s="245"/>
      <c r="P325" s="6"/>
    </row>
    <row r="326" spans="2:16" ht="15.6">
      <c r="B326" s="228"/>
      <c r="C326" s="335" t="s">
        <v>32</v>
      </c>
      <c r="D326" s="253" t="s">
        <v>8</v>
      </c>
      <c r="E326" s="253">
        <v>1</v>
      </c>
      <c r="F326" s="253">
        <v>0</v>
      </c>
      <c r="G326" s="253">
        <f t="shared" si="25"/>
        <v>1</v>
      </c>
      <c r="H326" s="249">
        <v>253.39</v>
      </c>
      <c r="I326" s="249"/>
      <c r="J326" s="274">
        <f>H326*G326</f>
        <v>253.39</v>
      </c>
      <c r="K326" s="318">
        <f>BDI_SERVIÇOS_MATERIAIS!$E$11*J326</f>
        <v>73.870360946448855</v>
      </c>
      <c r="L326" s="276">
        <f>BDI_SERVIÇOS_MATERIAIS!$E$11*I326</f>
        <v>0</v>
      </c>
      <c r="M326" s="347"/>
      <c r="N326" s="253" t="s">
        <v>12</v>
      </c>
      <c r="O326" s="623">
        <v>44774</v>
      </c>
      <c r="P326" s="6"/>
    </row>
    <row r="327" spans="2:16" ht="30.6">
      <c r="B327" s="228"/>
      <c r="C327" s="371" t="s">
        <v>180</v>
      </c>
      <c r="D327" s="253" t="s">
        <v>159</v>
      </c>
      <c r="E327" s="253">
        <v>2</v>
      </c>
      <c r="F327" s="253">
        <v>0</v>
      </c>
      <c r="G327" s="253">
        <f t="shared" si="25"/>
        <v>2</v>
      </c>
      <c r="H327" s="249">
        <v>24.98</v>
      </c>
      <c r="I327" s="249">
        <f>H327*G327</f>
        <v>49.96</v>
      </c>
      <c r="J327" s="253"/>
      <c r="K327" s="318">
        <f>BDI_SERVIÇOS_MATERIAIS!$E$11*J327</f>
        <v>0</v>
      </c>
      <c r="L327" s="276">
        <f>BDI_SERVIÇOS_MATERIAIS!$E$11*I327</f>
        <v>14.564754855695114</v>
      </c>
      <c r="M327" s="347"/>
      <c r="N327" s="253" t="s">
        <v>5</v>
      </c>
      <c r="O327" s="254">
        <v>88248</v>
      </c>
      <c r="P327" s="6"/>
    </row>
    <row r="328" spans="2:16" ht="16.2" thickBot="1">
      <c r="B328" s="228"/>
      <c r="C328" s="372" t="s">
        <v>157</v>
      </c>
      <c r="D328" s="281" t="s">
        <v>159</v>
      </c>
      <c r="E328" s="281">
        <v>2</v>
      </c>
      <c r="F328" s="281">
        <v>0</v>
      </c>
      <c r="G328" s="281">
        <f t="shared" si="25"/>
        <v>2</v>
      </c>
      <c r="H328" s="283">
        <v>29.06</v>
      </c>
      <c r="I328" s="283">
        <f>G328*H328</f>
        <v>58.12</v>
      </c>
      <c r="J328" s="281"/>
      <c r="K328" s="321">
        <f>BDI_SERVIÇOS_MATERIAIS!$E$11*J328</f>
        <v>0</v>
      </c>
      <c r="L328" s="291">
        <f>BDI_SERVIÇOS_MATERIAIS!$E$11*I328</f>
        <v>16.943625945016013</v>
      </c>
      <c r="M328" s="348"/>
      <c r="N328" s="281" t="s">
        <v>5</v>
      </c>
      <c r="O328" s="284">
        <v>88267</v>
      </c>
      <c r="P328" s="6"/>
    </row>
    <row r="329" spans="2:16" ht="15.6">
      <c r="B329" s="227" t="s">
        <v>120</v>
      </c>
      <c r="C329" s="286" t="s">
        <v>33</v>
      </c>
      <c r="D329" s="253" t="s">
        <v>8</v>
      </c>
      <c r="E329" s="253">
        <v>1</v>
      </c>
      <c r="F329" s="244"/>
      <c r="G329" s="244"/>
      <c r="H329" s="287"/>
      <c r="I329" s="288">
        <f>SUM(I330:I332)</f>
        <v>54.04</v>
      </c>
      <c r="J329" s="301">
        <f>SUM(J330:J332)</f>
        <v>36.26</v>
      </c>
      <c r="K329" s="339">
        <f>BDI_SERVIÇOS_MATERIAIS!$E$11*J329</f>
        <v>10.570816874849976</v>
      </c>
      <c r="L329" s="314">
        <f>BDI_SERVIÇOS_MATERIAIS!$E$11*I329</f>
        <v>15.754190400355563</v>
      </c>
      <c r="M329" s="346">
        <f>SUM(I329:L329)</f>
        <v>116.62500727520555</v>
      </c>
      <c r="N329" s="244"/>
      <c r="O329" s="245"/>
      <c r="P329" s="6"/>
    </row>
    <row r="330" spans="2:16" ht="15.6">
      <c r="B330" s="228"/>
      <c r="C330" s="335" t="s">
        <v>33</v>
      </c>
      <c r="D330" s="253" t="s">
        <v>8</v>
      </c>
      <c r="E330" s="253">
        <v>1</v>
      </c>
      <c r="F330" s="253">
        <v>0</v>
      </c>
      <c r="G330" s="253">
        <f t="shared" si="25"/>
        <v>1</v>
      </c>
      <c r="H330" s="249">
        <v>36.26</v>
      </c>
      <c r="I330" s="249"/>
      <c r="J330" s="274">
        <f>G330*H330</f>
        <v>36.26</v>
      </c>
      <c r="K330" s="318">
        <f>BDI_SERVIÇOS_MATERIAIS!$E$11*J330</f>
        <v>10.570816874849976</v>
      </c>
      <c r="L330" s="276"/>
      <c r="M330" s="347"/>
      <c r="N330" s="253" t="s">
        <v>12</v>
      </c>
      <c r="O330" s="623">
        <v>44774</v>
      </c>
      <c r="P330" s="6"/>
    </row>
    <row r="331" spans="2:16" ht="30.6">
      <c r="B331" s="228"/>
      <c r="C331" s="371" t="s">
        <v>180</v>
      </c>
      <c r="D331" s="253" t="s">
        <v>159</v>
      </c>
      <c r="E331" s="253">
        <v>1</v>
      </c>
      <c r="F331" s="253">
        <v>0</v>
      </c>
      <c r="G331" s="253">
        <f t="shared" si="25"/>
        <v>1</v>
      </c>
      <c r="H331" s="249">
        <v>24.98</v>
      </c>
      <c r="I331" s="249">
        <f>H331*G331</f>
        <v>24.98</v>
      </c>
      <c r="J331" s="274"/>
      <c r="K331" s="318"/>
      <c r="L331" s="276">
        <f>BDI_SERVIÇOS_MATERIAIS!$E$11*I331</f>
        <v>7.2823774278475568</v>
      </c>
      <c r="M331" s="347"/>
      <c r="N331" s="253" t="s">
        <v>5</v>
      </c>
      <c r="O331" s="254">
        <v>88248</v>
      </c>
      <c r="P331" s="6"/>
    </row>
    <row r="332" spans="2:16" ht="16.2" thickBot="1">
      <c r="B332" s="228"/>
      <c r="C332" s="372" t="s">
        <v>157</v>
      </c>
      <c r="D332" s="281" t="s">
        <v>159</v>
      </c>
      <c r="E332" s="281">
        <v>1</v>
      </c>
      <c r="F332" s="281">
        <v>0</v>
      </c>
      <c r="G332" s="281">
        <f t="shared" si="25"/>
        <v>1</v>
      </c>
      <c r="H332" s="283">
        <v>29.06</v>
      </c>
      <c r="I332" s="283">
        <f>H332*G332</f>
        <v>29.06</v>
      </c>
      <c r="J332" s="295"/>
      <c r="K332" s="455"/>
      <c r="L332" s="456">
        <f>BDI_SERVIÇOS_MATERIAIS!$E$11*I332</f>
        <v>8.4718129725080065</v>
      </c>
      <c r="M332" s="348"/>
      <c r="N332" s="281" t="s">
        <v>5</v>
      </c>
      <c r="O332" s="284">
        <v>88267</v>
      </c>
      <c r="P332" s="6"/>
    </row>
    <row r="333" spans="2:16" ht="15.6">
      <c r="B333" s="227" t="s">
        <v>121</v>
      </c>
      <c r="C333" s="286" t="s">
        <v>34</v>
      </c>
      <c r="D333" s="253" t="s">
        <v>8</v>
      </c>
      <c r="E333" s="253">
        <v>1</v>
      </c>
      <c r="F333" s="244"/>
      <c r="G333" s="244"/>
      <c r="H333" s="287"/>
      <c r="I333" s="288">
        <f>SUM(I334:I336)</f>
        <v>54.04</v>
      </c>
      <c r="J333" s="301">
        <f>SUM(J334:J336)</f>
        <v>179.8</v>
      </c>
      <c r="K333" s="339">
        <f>BDI_SERVIÇOS_MATERIAIS!$E$11*J333</f>
        <v>52.416791894595306</v>
      </c>
      <c r="L333" s="314">
        <f>BDI_SERVIÇOS_MATERIAIS!$E$11*I333</f>
        <v>15.754190400355563</v>
      </c>
      <c r="M333" s="346">
        <f>SUM(I333:L333)</f>
        <v>302.01098229495091</v>
      </c>
      <c r="N333" s="244"/>
      <c r="O333" s="245"/>
      <c r="P333" s="6"/>
    </row>
    <row r="334" spans="2:16" ht="15.6">
      <c r="B334" s="228"/>
      <c r="C334" s="335" t="s">
        <v>34</v>
      </c>
      <c r="D334" s="253" t="s">
        <v>8</v>
      </c>
      <c r="E334" s="253">
        <v>1</v>
      </c>
      <c r="F334" s="253">
        <v>0</v>
      </c>
      <c r="G334" s="253">
        <f t="shared" si="25"/>
        <v>1</v>
      </c>
      <c r="H334" s="249">
        <v>179.8</v>
      </c>
      <c r="I334" s="249"/>
      <c r="J334" s="274">
        <f>G334*H334</f>
        <v>179.8</v>
      </c>
      <c r="K334" s="318">
        <f>BDI_SERVIÇOS_MATERIAIS!$E$11*J334</f>
        <v>52.416791894595306</v>
      </c>
      <c r="L334" s="276"/>
      <c r="M334" s="347"/>
      <c r="N334" s="253" t="s">
        <v>12</v>
      </c>
      <c r="O334" s="623">
        <v>44805</v>
      </c>
      <c r="P334" s="6"/>
    </row>
    <row r="335" spans="2:16" ht="30.6">
      <c r="B335" s="228"/>
      <c r="C335" s="371" t="s">
        <v>180</v>
      </c>
      <c r="D335" s="253" t="s">
        <v>159</v>
      </c>
      <c r="E335" s="253">
        <v>1</v>
      </c>
      <c r="F335" s="253">
        <v>0</v>
      </c>
      <c r="G335" s="253">
        <f t="shared" si="25"/>
        <v>1</v>
      </c>
      <c r="H335" s="249">
        <v>24.98</v>
      </c>
      <c r="I335" s="249">
        <f>G335*H335</f>
        <v>24.98</v>
      </c>
      <c r="J335" s="274"/>
      <c r="K335" s="318"/>
      <c r="L335" s="276">
        <f>BDI_SERVIÇOS_MATERIAIS!$E$11*I335</f>
        <v>7.2823774278475568</v>
      </c>
      <c r="M335" s="347"/>
      <c r="N335" s="253" t="s">
        <v>5</v>
      </c>
      <c r="O335" s="254">
        <v>88248</v>
      </c>
      <c r="P335" s="6"/>
    </row>
    <row r="336" spans="2:16" ht="16.2" thickBot="1">
      <c r="B336" s="228"/>
      <c r="C336" s="372" t="s">
        <v>157</v>
      </c>
      <c r="D336" s="281" t="s">
        <v>159</v>
      </c>
      <c r="E336" s="281">
        <v>1</v>
      </c>
      <c r="F336" s="281">
        <v>0</v>
      </c>
      <c r="G336" s="281">
        <f t="shared" si="25"/>
        <v>1</v>
      </c>
      <c r="H336" s="283">
        <v>29.06</v>
      </c>
      <c r="I336" s="283">
        <f>G336*H336</f>
        <v>29.06</v>
      </c>
      <c r="J336" s="295"/>
      <c r="K336" s="321"/>
      <c r="L336" s="321">
        <f>BDI_SERVIÇOS_MATERIAIS!$E$11*I336</f>
        <v>8.4718129725080065</v>
      </c>
      <c r="M336" s="291"/>
      <c r="N336" s="281" t="s">
        <v>5</v>
      </c>
      <c r="O336" s="284">
        <v>88267</v>
      </c>
      <c r="P336" s="6"/>
    </row>
    <row r="337" spans="2:16" ht="31.2">
      <c r="B337" s="227" t="s">
        <v>122</v>
      </c>
      <c r="C337" s="286" t="s">
        <v>237</v>
      </c>
      <c r="D337" s="253" t="s">
        <v>8</v>
      </c>
      <c r="E337" s="244">
        <v>5</v>
      </c>
      <c r="F337" s="244"/>
      <c r="G337" s="244"/>
      <c r="H337" s="287"/>
      <c r="I337" s="288">
        <f>SUM(I338:I340)</f>
        <v>1080.8</v>
      </c>
      <c r="J337" s="301">
        <f>SUM(J338:J340)</f>
        <v>1455</v>
      </c>
      <c r="K337" s="339">
        <f>BDI_SERVIÇOS_MATERIAIS!$E$11*J337</f>
        <v>424.17370526493977</v>
      </c>
      <c r="L337" s="314">
        <f>BDI_SERVIÇOS_MATERIAIS!$E$11*I337</f>
        <v>315.08380800711126</v>
      </c>
      <c r="M337" s="346">
        <f>SUM(I337:L337)</f>
        <v>3275.057513272051</v>
      </c>
      <c r="N337" s="244"/>
      <c r="O337" s="245"/>
      <c r="P337" s="6"/>
    </row>
    <row r="338" spans="2:16" ht="30.6">
      <c r="B338" s="228"/>
      <c r="C338" s="335" t="s">
        <v>456</v>
      </c>
      <c r="D338" s="253" t="s">
        <v>8</v>
      </c>
      <c r="E338" s="253">
        <v>5</v>
      </c>
      <c r="F338" s="253">
        <v>0</v>
      </c>
      <c r="G338" s="253">
        <f t="shared" si="25"/>
        <v>5</v>
      </c>
      <c r="H338" s="274">
        <v>291</v>
      </c>
      <c r="I338" s="249"/>
      <c r="J338" s="274">
        <f>G338*H338</f>
        <v>1455</v>
      </c>
      <c r="K338" s="318">
        <f>BDI_SERVIÇOS_MATERIAIS!$E$11*J338</f>
        <v>424.17370526493977</v>
      </c>
      <c r="L338" s="276"/>
      <c r="M338" s="457"/>
      <c r="N338" s="253" t="s">
        <v>12</v>
      </c>
      <c r="O338" s="623">
        <v>44774</v>
      </c>
      <c r="P338" s="6"/>
    </row>
    <row r="339" spans="2:16" ht="30.6">
      <c r="B339" s="228"/>
      <c r="C339" s="371" t="s">
        <v>180</v>
      </c>
      <c r="D339" s="253" t="s">
        <v>159</v>
      </c>
      <c r="E339" s="253">
        <v>20</v>
      </c>
      <c r="F339" s="253">
        <v>0</v>
      </c>
      <c r="G339" s="253">
        <f t="shared" si="25"/>
        <v>20</v>
      </c>
      <c r="H339" s="249">
        <v>24.98</v>
      </c>
      <c r="I339" s="249">
        <f>G339*H339</f>
        <v>499.6</v>
      </c>
      <c r="J339" s="274"/>
      <c r="K339" s="318"/>
      <c r="L339" s="276">
        <f>BDI_SERVIÇOS_MATERIAIS!$E$11*I339</f>
        <v>145.64754855695114</v>
      </c>
      <c r="M339" s="457"/>
      <c r="N339" s="253" t="s">
        <v>5</v>
      </c>
      <c r="O339" s="254">
        <v>88248</v>
      </c>
      <c r="P339" s="6"/>
    </row>
    <row r="340" spans="2:16" ht="16.2" thickBot="1">
      <c r="B340" s="228"/>
      <c r="C340" s="372" t="s">
        <v>157</v>
      </c>
      <c r="D340" s="281" t="s">
        <v>159</v>
      </c>
      <c r="E340" s="281">
        <v>20</v>
      </c>
      <c r="F340" s="281">
        <v>0</v>
      </c>
      <c r="G340" s="281">
        <f t="shared" si="25"/>
        <v>20</v>
      </c>
      <c r="H340" s="283">
        <v>29.06</v>
      </c>
      <c r="I340" s="283">
        <f>G340*H340</f>
        <v>581.19999999999993</v>
      </c>
      <c r="J340" s="295"/>
      <c r="K340" s="321"/>
      <c r="L340" s="291">
        <f>BDI_SERVIÇOS_MATERIAIS!$E$11*I340</f>
        <v>169.43625945016012</v>
      </c>
      <c r="M340" s="458"/>
      <c r="N340" s="281" t="s">
        <v>5</v>
      </c>
      <c r="O340" s="284">
        <v>88267</v>
      </c>
      <c r="P340" s="6"/>
    </row>
    <row r="341" spans="2:16" ht="31.2">
      <c r="B341" s="227" t="s">
        <v>123</v>
      </c>
      <c r="C341" s="286" t="s">
        <v>229</v>
      </c>
      <c r="D341" s="253" t="s">
        <v>8</v>
      </c>
      <c r="E341" s="244"/>
      <c r="F341" s="244"/>
      <c r="G341" s="244"/>
      <c r="H341" s="287"/>
      <c r="I341" s="288">
        <f>SUM(I342:I344)</f>
        <v>54.04</v>
      </c>
      <c r="J341" s="301">
        <f>SUM(J342:J344)</f>
        <v>90.32</v>
      </c>
      <c r="K341" s="339">
        <f>BDI_SERVIÇOS_MATERIAIS!$E$11*J341</f>
        <v>26.330837841600932</v>
      </c>
      <c r="L341" s="314">
        <f>BDI_SERVIÇOS_MATERIAIS!$E$11*I341</f>
        <v>15.754190400355563</v>
      </c>
      <c r="M341" s="459">
        <f>SUM(I341:L341)</f>
        <v>186.44502824195646</v>
      </c>
      <c r="N341" s="244" t="s">
        <v>5</v>
      </c>
      <c r="O341" s="245">
        <v>99619</v>
      </c>
      <c r="P341" s="6"/>
    </row>
    <row r="342" spans="2:16" ht="30.6">
      <c r="B342" s="228"/>
      <c r="C342" s="335" t="s">
        <v>229</v>
      </c>
      <c r="D342" s="253" t="s">
        <v>8</v>
      </c>
      <c r="E342" s="253">
        <v>1</v>
      </c>
      <c r="F342" s="253">
        <v>0</v>
      </c>
      <c r="G342" s="253">
        <f t="shared" si="25"/>
        <v>1</v>
      </c>
      <c r="H342" s="249">
        <v>90.32</v>
      </c>
      <c r="I342" s="249"/>
      <c r="J342" s="274">
        <f>H342*G342</f>
        <v>90.32</v>
      </c>
      <c r="K342" s="318">
        <f>BDI_SERVIÇOS_MATERIAIS!$E$11*J342</f>
        <v>26.330837841600932</v>
      </c>
      <c r="L342" s="276"/>
      <c r="M342" s="352"/>
      <c r="N342" s="253" t="s">
        <v>5</v>
      </c>
      <c r="O342" s="254">
        <v>10412</v>
      </c>
      <c r="P342" s="6"/>
    </row>
    <row r="343" spans="2:16" ht="30.6">
      <c r="B343" s="228"/>
      <c r="C343" s="371" t="s">
        <v>180</v>
      </c>
      <c r="D343" s="253" t="s">
        <v>159</v>
      </c>
      <c r="E343" s="253">
        <v>1</v>
      </c>
      <c r="F343" s="253">
        <v>0</v>
      </c>
      <c r="G343" s="253">
        <f t="shared" si="25"/>
        <v>1</v>
      </c>
      <c r="H343" s="249">
        <v>24.98</v>
      </c>
      <c r="I343" s="249">
        <f>H343*G343</f>
        <v>24.98</v>
      </c>
      <c r="J343" s="274"/>
      <c r="K343" s="318"/>
      <c r="L343" s="276">
        <f>BDI_SERVIÇOS_MATERIAIS!$E$11*I343</f>
        <v>7.2823774278475568</v>
      </c>
      <c r="M343" s="352"/>
      <c r="N343" s="253" t="s">
        <v>5</v>
      </c>
      <c r="O343" s="254">
        <v>88248</v>
      </c>
      <c r="P343" s="6"/>
    </row>
    <row r="344" spans="2:16" ht="16.2" thickBot="1">
      <c r="B344" s="228"/>
      <c r="C344" s="372" t="s">
        <v>157</v>
      </c>
      <c r="D344" s="281" t="s">
        <v>159</v>
      </c>
      <c r="E344" s="281">
        <v>1</v>
      </c>
      <c r="F344" s="281">
        <v>0</v>
      </c>
      <c r="G344" s="281">
        <f t="shared" si="25"/>
        <v>1</v>
      </c>
      <c r="H344" s="283">
        <v>29.06</v>
      </c>
      <c r="I344" s="283">
        <f>H344*G344</f>
        <v>29.06</v>
      </c>
      <c r="J344" s="295"/>
      <c r="K344" s="321"/>
      <c r="L344" s="291">
        <f>BDI_SERVIÇOS_MATERIAIS!$E$11*I344</f>
        <v>8.4718129725080065</v>
      </c>
      <c r="M344" s="362"/>
      <c r="N344" s="281" t="s">
        <v>5</v>
      </c>
      <c r="O344" s="284">
        <v>88267</v>
      </c>
      <c r="P344" s="6"/>
    </row>
    <row r="345" spans="2:16" ht="31.2">
      <c r="B345" s="227" t="s">
        <v>124</v>
      </c>
      <c r="C345" s="286" t="s">
        <v>230</v>
      </c>
      <c r="D345" s="253" t="s">
        <v>8</v>
      </c>
      <c r="E345" s="244">
        <v>1</v>
      </c>
      <c r="F345" s="244"/>
      <c r="G345" s="244"/>
      <c r="H345" s="287"/>
      <c r="I345" s="288">
        <f>SUM(I346:I348)</f>
        <v>54.04</v>
      </c>
      <c r="J345" s="301">
        <f>SUM(J346:J348)</f>
        <v>31.93</v>
      </c>
      <c r="K345" s="339">
        <f>BDI_SERVIÇOS_MATERIAIS!$E$11*J345</f>
        <v>9.3084992502470971</v>
      </c>
      <c r="L345" s="314">
        <f>BDI_SERVIÇOS_MATERIAIS!$E$11*I345</f>
        <v>15.754190400355563</v>
      </c>
      <c r="M345" s="346">
        <f>SUM(I345:L345)</f>
        <v>111.03268965060266</v>
      </c>
      <c r="N345" s="244" t="s">
        <v>5</v>
      </c>
      <c r="O345" s="245">
        <v>89353</v>
      </c>
      <c r="P345" s="6"/>
    </row>
    <row r="346" spans="2:16" ht="30.6">
      <c r="B346" s="228"/>
      <c r="C346" s="335" t="s">
        <v>230</v>
      </c>
      <c r="D346" s="253" t="s">
        <v>8</v>
      </c>
      <c r="E346" s="253">
        <v>1</v>
      </c>
      <c r="F346" s="253">
        <v>0</v>
      </c>
      <c r="G346" s="253">
        <f t="shared" si="25"/>
        <v>1</v>
      </c>
      <c r="H346" s="249">
        <v>31.93</v>
      </c>
      <c r="I346" s="249"/>
      <c r="J346" s="274">
        <f>H346*G346</f>
        <v>31.93</v>
      </c>
      <c r="K346" s="318">
        <f>BDI_SERVIÇOS_MATERIAIS!$E$11*J346</f>
        <v>9.3084992502470971</v>
      </c>
      <c r="L346" s="276"/>
      <c r="M346" s="457"/>
      <c r="N346" s="253" t="s">
        <v>5</v>
      </c>
      <c r="O346" s="254">
        <v>6016</v>
      </c>
      <c r="P346" s="6"/>
    </row>
    <row r="347" spans="2:16" ht="30.6">
      <c r="B347" s="228"/>
      <c r="C347" s="371" t="s">
        <v>180</v>
      </c>
      <c r="D347" s="253" t="s">
        <v>159</v>
      </c>
      <c r="E347" s="253">
        <v>1</v>
      </c>
      <c r="F347" s="253">
        <v>0</v>
      </c>
      <c r="G347" s="253">
        <f t="shared" si="25"/>
        <v>1</v>
      </c>
      <c r="H347" s="249">
        <v>24.98</v>
      </c>
      <c r="I347" s="249">
        <f>H347*G347</f>
        <v>24.98</v>
      </c>
      <c r="J347" s="274"/>
      <c r="K347" s="318"/>
      <c r="L347" s="276">
        <f>BDI_SERVIÇOS_MATERIAIS!$E$11*I347</f>
        <v>7.2823774278475568</v>
      </c>
      <c r="M347" s="352"/>
      <c r="N347" s="253" t="s">
        <v>5</v>
      </c>
      <c r="O347" s="254">
        <v>88248</v>
      </c>
      <c r="P347" s="6"/>
    </row>
    <row r="348" spans="2:16" ht="16.2" thickBot="1">
      <c r="B348" s="229"/>
      <c r="C348" s="372" t="s">
        <v>157</v>
      </c>
      <c r="D348" s="281" t="s">
        <v>159</v>
      </c>
      <c r="E348" s="281">
        <v>1</v>
      </c>
      <c r="F348" s="281">
        <v>0</v>
      </c>
      <c r="G348" s="281">
        <f t="shared" si="25"/>
        <v>1</v>
      </c>
      <c r="H348" s="283">
        <v>29.06</v>
      </c>
      <c r="I348" s="283">
        <f>G348*H348</f>
        <v>29.06</v>
      </c>
      <c r="J348" s="295"/>
      <c r="K348" s="321"/>
      <c r="L348" s="291">
        <f>BDI_SERVIÇOS_MATERIAIS!$E$11*I348</f>
        <v>8.4718129725080065</v>
      </c>
      <c r="M348" s="362"/>
      <c r="N348" s="281" t="s">
        <v>5</v>
      </c>
      <c r="O348" s="284">
        <v>88267</v>
      </c>
      <c r="P348" s="6"/>
    </row>
    <row r="349" spans="2:16" ht="15.6">
      <c r="B349" s="227" t="s">
        <v>559</v>
      </c>
      <c r="C349" s="460" t="s">
        <v>572</v>
      </c>
      <c r="D349" s="333" t="s">
        <v>8</v>
      </c>
      <c r="E349" s="333">
        <v>2</v>
      </c>
      <c r="F349" s="333">
        <v>0</v>
      </c>
      <c r="G349" s="333">
        <f>E349-F349</f>
        <v>2</v>
      </c>
      <c r="H349" s="340"/>
      <c r="I349" s="340">
        <f>SUM(I350:I353)</f>
        <v>7.5656000000000008</v>
      </c>
      <c r="J349" s="323">
        <f>SUM(J350:J353)</f>
        <v>100.09287999999999</v>
      </c>
      <c r="K349" s="461">
        <f>BDI_SERVIÇOS_MATERIAIS!$E$11*J349</f>
        <v>29.179909127312015</v>
      </c>
      <c r="L349" s="461">
        <f>BDI_SERVIÇOS_MATERIAIS!$E$11*I349</f>
        <v>2.2055866560497792</v>
      </c>
      <c r="M349" s="462">
        <f>SUM(I349:L349)</f>
        <v>139.04397578336179</v>
      </c>
      <c r="N349" s="244"/>
      <c r="O349" s="245"/>
      <c r="P349" s="6"/>
    </row>
    <row r="350" spans="2:16" ht="15.6">
      <c r="B350" s="463"/>
      <c r="C350" s="418" t="s">
        <v>553</v>
      </c>
      <c r="D350" s="277" t="s">
        <v>8</v>
      </c>
      <c r="E350" s="277">
        <v>2</v>
      </c>
      <c r="F350" s="277">
        <v>0</v>
      </c>
      <c r="G350" s="277">
        <f t="shared" ref="G350:G363" si="26">E350-F350</f>
        <v>2</v>
      </c>
      <c r="H350" s="276">
        <v>50</v>
      </c>
      <c r="I350" s="341"/>
      <c r="J350" s="276">
        <f>H350*G350</f>
        <v>100</v>
      </c>
      <c r="K350" s="276">
        <f>BDI_SERVIÇOS_MATERIAIS!$E$11*J350</f>
        <v>29.152831976971804</v>
      </c>
      <c r="L350" s="276">
        <f>BDI_SERVIÇOS_MATERIAIS!$E$11*I350</f>
        <v>0</v>
      </c>
      <c r="M350" s="274"/>
      <c r="N350" s="253" t="s">
        <v>3</v>
      </c>
      <c r="O350" s="623">
        <v>44805</v>
      </c>
      <c r="P350" s="6"/>
    </row>
    <row r="351" spans="2:16" ht="15.6">
      <c r="B351" s="463"/>
      <c r="C351" s="418" t="s">
        <v>183</v>
      </c>
      <c r="D351" s="277"/>
      <c r="E351" s="464">
        <f>0.006*E350</f>
        <v>1.2E-2</v>
      </c>
      <c r="F351" s="277">
        <v>0</v>
      </c>
      <c r="G351" s="277">
        <f t="shared" si="26"/>
        <v>1.2E-2</v>
      </c>
      <c r="H351" s="341">
        <v>7.74</v>
      </c>
      <c r="I351" s="341"/>
      <c r="J351" s="276">
        <f>H351*G351</f>
        <v>9.2880000000000004E-2</v>
      </c>
      <c r="K351" s="276">
        <f>BDI_SERVIÇOS_MATERIAIS!$E$11*J351</f>
        <v>2.7077150340211412E-2</v>
      </c>
      <c r="L351" s="276">
        <f>BDI_SERVIÇOS_MATERIAIS!$E$11*I351</f>
        <v>0</v>
      </c>
      <c r="M351" s="274"/>
      <c r="N351" s="253" t="s">
        <v>5</v>
      </c>
      <c r="O351" s="254">
        <v>3148</v>
      </c>
      <c r="P351" s="6"/>
    </row>
    <row r="352" spans="2:16" ht="30">
      <c r="B352" s="463"/>
      <c r="C352" s="465" t="s">
        <v>180</v>
      </c>
      <c r="D352" s="277" t="s">
        <v>159</v>
      </c>
      <c r="E352" s="277">
        <f>0.07*E350</f>
        <v>0.14000000000000001</v>
      </c>
      <c r="F352" s="277">
        <v>0</v>
      </c>
      <c r="G352" s="277">
        <f t="shared" si="26"/>
        <v>0.14000000000000001</v>
      </c>
      <c r="H352" s="276">
        <v>24.98</v>
      </c>
      <c r="I352" s="341">
        <f>H352*G352</f>
        <v>3.4972000000000003</v>
      </c>
      <c r="J352" s="276"/>
      <c r="K352" s="276">
        <f>BDI_SERVIÇOS_MATERIAIS!$E$11*J352</f>
        <v>0</v>
      </c>
      <c r="L352" s="276">
        <f>BDI_SERVIÇOS_MATERIAIS!$E$11*I352</f>
        <v>1.0195328398986581</v>
      </c>
      <c r="M352" s="274"/>
      <c r="N352" s="253" t="s">
        <v>5</v>
      </c>
      <c r="O352" s="254">
        <v>88248</v>
      </c>
      <c r="P352" s="6"/>
    </row>
    <row r="353" spans="2:16" ht="15.6" thickBot="1">
      <c r="B353" s="463"/>
      <c r="C353" s="466" t="s">
        <v>157</v>
      </c>
      <c r="D353" s="467" t="s">
        <v>159</v>
      </c>
      <c r="E353" s="467">
        <f>0.07*E350</f>
        <v>0.14000000000000001</v>
      </c>
      <c r="F353" s="467">
        <v>0</v>
      </c>
      <c r="G353" s="467">
        <f t="shared" si="26"/>
        <v>0.14000000000000001</v>
      </c>
      <c r="H353" s="291">
        <v>29.06</v>
      </c>
      <c r="I353" s="342">
        <f>H353*G353</f>
        <v>4.0684000000000005</v>
      </c>
      <c r="J353" s="291"/>
      <c r="K353" s="395">
        <f>BDI_SERVIÇOS_MATERIAIS!$E$11*J353</f>
        <v>0</v>
      </c>
      <c r="L353" s="395">
        <f>BDI_SERVIÇOS_MATERIAIS!$E$11*I353</f>
        <v>1.1860538161511209</v>
      </c>
      <c r="M353" s="295"/>
      <c r="N353" s="281" t="s">
        <v>5</v>
      </c>
      <c r="O353" s="284">
        <v>88267</v>
      </c>
      <c r="P353" s="6"/>
    </row>
    <row r="354" spans="2:16" ht="46.8">
      <c r="B354" s="227" t="s">
        <v>570</v>
      </c>
      <c r="C354" s="468" t="s">
        <v>587</v>
      </c>
      <c r="D354" s="311" t="s">
        <v>430</v>
      </c>
      <c r="E354" s="311">
        <v>12</v>
      </c>
      <c r="F354" s="311">
        <v>0</v>
      </c>
      <c r="G354" s="311">
        <f t="shared" si="26"/>
        <v>12</v>
      </c>
      <c r="H354" s="469"/>
      <c r="I354" s="469">
        <f>SUM(I355:I357)</f>
        <v>168.60480000000001</v>
      </c>
      <c r="J354" s="367">
        <f>SUM(J355:J357)</f>
        <v>575.89692000000002</v>
      </c>
      <c r="K354" s="367">
        <f>BDI_SERVIÇOS_MATERIAIS!$E$11*J354</f>
        <v>167.89026144815574</v>
      </c>
      <c r="L354" s="367">
        <f>BDI_SERVIÇOS_MATERIAIS!$E$11*I354</f>
        <v>49.153074049109364</v>
      </c>
      <c r="M354" s="470">
        <f>SUM(I354:L354)</f>
        <v>961.54505549726514</v>
      </c>
      <c r="N354" s="269" t="s">
        <v>5</v>
      </c>
      <c r="O354" s="272">
        <v>97498</v>
      </c>
      <c r="P354" s="6"/>
    </row>
    <row r="355" spans="2:16" ht="30">
      <c r="B355" s="228"/>
      <c r="C355" s="465" t="s">
        <v>191</v>
      </c>
      <c r="D355" s="277" t="s">
        <v>430</v>
      </c>
      <c r="E355" s="471">
        <f>1.039*E354</f>
        <v>12.468</v>
      </c>
      <c r="F355" s="277">
        <v>0</v>
      </c>
      <c r="G355" s="277">
        <f t="shared" si="26"/>
        <v>12.468</v>
      </c>
      <c r="H355" s="341">
        <v>46.19</v>
      </c>
      <c r="I355" s="341"/>
      <c r="J355" s="276">
        <f>H355*G355</f>
        <v>575.89692000000002</v>
      </c>
      <c r="K355" s="367">
        <f>BDI_SERVIÇOS_MATERIAIS!$E$11*J355</f>
        <v>167.89026144815574</v>
      </c>
      <c r="L355" s="367">
        <f>BDI_SERVIÇOS_MATERIAIS!$E$11*I355</f>
        <v>0</v>
      </c>
      <c r="M355" s="274"/>
      <c r="N355" s="253" t="s">
        <v>5</v>
      </c>
      <c r="O355" s="331">
        <v>40626</v>
      </c>
      <c r="P355" s="6"/>
    </row>
    <row r="356" spans="2:16" ht="30">
      <c r="B356" s="228"/>
      <c r="C356" s="465" t="s">
        <v>180</v>
      </c>
      <c r="D356" s="277" t="s">
        <v>159</v>
      </c>
      <c r="E356" s="471">
        <f>0.26*E354</f>
        <v>3.12</v>
      </c>
      <c r="F356" s="277">
        <v>0</v>
      </c>
      <c r="G356" s="277">
        <f t="shared" si="26"/>
        <v>3.12</v>
      </c>
      <c r="H356" s="341">
        <v>24.98</v>
      </c>
      <c r="I356" s="341">
        <f>H356*G356</f>
        <v>77.937600000000003</v>
      </c>
      <c r="J356" s="276"/>
      <c r="K356" s="367">
        <f>BDI_SERVIÇOS_MATERIAIS!$E$11*J356</f>
        <v>0</v>
      </c>
      <c r="L356" s="367">
        <f>BDI_SERVIÇOS_MATERIAIS!$E$11*I356</f>
        <v>22.721017574884378</v>
      </c>
      <c r="M356" s="274"/>
      <c r="N356" s="253" t="s">
        <v>5</v>
      </c>
      <c r="O356" s="331">
        <v>88248</v>
      </c>
      <c r="P356" s="6"/>
    </row>
    <row r="357" spans="2:16" ht="15.6" thickBot="1">
      <c r="B357" s="229"/>
      <c r="C357" s="472" t="s">
        <v>157</v>
      </c>
      <c r="D357" s="357" t="s">
        <v>159</v>
      </c>
      <c r="E357" s="473">
        <f>0.26*E354</f>
        <v>3.12</v>
      </c>
      <c r="F357" s="357">
        <v>0</v>
      </c>
      <c r="G357" s="357">
        <f t="shared" si="26"/>
        <v>3.12</v>
      </c>
      <c r="H357" s="474">
        <v>29.06</v>
      </c>
      <c r="I357" s="474">
        <f>H357*G357</f>
        <v>90.667199999999994</v>
      </c>
      <c r="J357" s="370"/>
      <c r="K357" s="367">
        <f>BDI_SERVIÇOS_MATERIAIS!$E$11*J357</f>
        <v>0</v>
      </c>
      <c r="L357" s="367">
        <f>BDI_SERVIÇOS_MATERIAIS!$E$11*I357</f>
        <v>26.432056474224979</v>
      </c>
      <c r="M357" s="368"/>
      <c r="N357" s="281" t="s">
        <v>5</v>
      </c>
      <c r="O357" s="332">
        <v>88267</v>
      </c>
      <c r="P357" s="6"/>
    </row>
    <row r="358" spans="2:16" ht="46.8">
      <c r="B358" s="463" t="s">
        <v>571</v>
      </c>
      <c r="C358" s="460" t="s">
        <v>593</v>
      </c>
      <c r="D358" s="333" t="s">
        <v>8</v>
      </c>
      <c r="E358" s="333">
        <v>6</v>
      </c>
      <c r="F358" s="333">
        <v>0</v>
      </c>
      <c r="G358" s="333">
        <f t="shared" si="26"/>
        <v>6</v>
      </c>
      <c r="H358" s="340"/>
      <c r="I358" s="340">
        <f>SUM(I359:I363)</f>
        <v>146.23223999999999</v>
      </c>
      <c r="J358" s="323">
        <f>SUM(J359:J363)</f>
        <v>99.295799999999986</v>
      </c>
      <c r="K358" s="323">
        <f>BDI_SERVIÇOS_MATERIAIS!$E$11*J358</f>
        <v>28.947537734189964</v>
      </c>
      <c r="L358" s="323">
        <f>BDI_SERVIÇOS_MATERIAIS!$E$11*I358</f>
        <v>42.630839223362152</v>
      </c>
      <c r="M358" s="462">
        <f>SUM(I358:L358)</f>
        <v>317.10641695755209</v>
      </c>
      <c r="N358" s="244" t="s">
        <v>5</v>
      </c>
      <c r="O358" s="245">
        <v>92670</v>
      </c>
      <c r="P358" s="6"/>
    </row>
    <row r="359" spans="2:16" ht="15.6">
      <c r="B359" s="463"/>
      <c r="C359" s="418" t="s">
        <v>183</v>
      </c>
      <c r="D359" s="277" t="s">
        <v>430</v>
      </c>
      <c r="E359" s="277">
        <f>0.013*E358</f>
        <v>7.8E-2</v>
      </c>
      <c r="F359" s="277">
        <v>0</v>
      </c>
      <c r="G359" s="277">
        <f t="shared" si="26"/>
        <v>7.8E-2</v>
      </c>
      <c r="H359" s="341">
        <v>7.74</v>
      </c>
      <c r="I359" s="341"/>
      <c r="J359" s="276">
        <f>H359*G359</f>
        <v>0.60372000000000003</v>
      </c>
      <c r="K359" s="276"/>
      <c r="L359" s="276"/>
      <c r="M359" s="274"/>
      <c r="N359" s="253" t="s">
        <v>5</v>
      </c>
      <c r="O359" s="254">
        <v>3148</v>
      </c>
      <c r="P359" s="6"/>
    </row>
    <row r="360" spans="2:16" ht="15.6">
      <c r="B360" s="463"/>
      <c r="C360" s="418" t="s">
        <v>197</v>
      </c>
      <c r="D360" s="277" t="s">
        <v>8</v>
      </c>
      <c r="E360" s="277">
        <f>E358</f>
        <v>6</v>
      </c>
      <c r="F360" s="277">
        <v>0</v>
      </c>
      <c r="G360" s="277">
        <f t="shared" si="26"/>
        <v>6</v>
      </c>
      <c r="H360" s="341">
        <v>16.329999999999998</v>
      </c>
      <c r="I360" s="341"/>
      <c r="J360" s="276">
        <f>H360*G360</f>
        <v>97.97999999999999</v>
      </c>
      <c r="K360" s="276"/>
      <c r="L360" s="276"/>
      <c r="M360" s="274"/>
      <c r="N360" s="253" t="s">
        <v>5</v>
      </c>
      <c r="O360" s="254">
        <v>3472</v>
      </c>
      <c r="P360" s="6"/>
    </row>
    <row r="361" spans="2:16" ht="15.6">
      <c r="B361" s="463"/>
      <c r="C361" s="418" t="s">
        <v>184</v>
      </c>
      <c r="D361" s="277" t="s">
        <v>185</v>
      </c>
      <c r="E361" s="277">
        <f>0.003*E358</f>
        <v>1.8000000000000002E-2</v>
      </c>
      <c r="F361" s="277">
        <v>0</v>
      </c>
      <c r="G361" s="277">
        <f t="shared" si="26"/>
        <v>1.8000000000000002E-2</v>
      </c>
      <c r="H361" s="341">
        <v>39.56</v>
      </c>
      <c r="I361" s="341"/>
      <c r="J361" s="276">
        <f>H361*G361</f>
        <v>0.71208000000000016</v>
      </c>
      <c r="K361" s="276"/>
      <c r="L361" s="276"/>
      <c r="M361" s="274"/>
      <c r="N361" s="253" t="s">
        <v>5</v>
      </c>
      <c r="O361" s="254">
        <v>7307</v>
      </c>
      <c r="P361" s="6"/>
    </row>
    <row r="362" spans="2:16" ht="30.6">
      <c r="B362" s="463"/>
      <c r="C362" s="418" t="s">
        <v>180</v>
      </c>
      <c r="D362" s="277" t="s">
        <v>159</v>
      </c>
      <c r="E362" s="277">
        <f>0.451*E358</f>
        <v>2.706</v>
      </c>
      <c r="F362" s="277">
        <v>0</v>
      </c>
      <c r="G362" s="277">
        <f t="shared" si="26"/>
        <v>2.706</v>
      </c>
      <c r="H362" s="341">
        <v>24.98</v>
      </c>
      <c r="I362" s="341">
        <f>H362*G362</f>
        <v>67.595879999999994</v>
      </c>
      <c r="J362" s="276"/>
      <c r="K362" s="276"/>
      <c r="L362" s="276"/>
      <c r="M362" s="274"/>
      <c r="N362" s="253" t="s">
        <v>5</v>
      </c>
      <c r="O362" s="254">
        <v>88248</v>
      </c>
      <c r="P362" s="6"/>
    </row>
    <row r="363" spans="2:16" ht="16.2" thickBot="1">
      <c r="B363" s="475"/>
      <c r="C363" s="476" t="s">
        <v>157</v>
      </c>
      <c r="D363" s="467" t="s">
        <v>159</v>
      </c>
      <c r="E363" s="467">
        <f>0.451*E358</f>
        <v>2.706</v>
      </c>
      <c r="F363" s="467">
        <v>0</v>
      </c>
      <c r="G363" s="467">
        <f t="shared" si="26"/>
        <v>2.706</v>
      </c>
      <c r="H363" s="342">
        <v>29.06</v>
      </c>
      <c r="I363" s="342">
        <f>H363*G363</f>
        <v>78.636359999999996</v>
      </c>
      <c r="J363" s="291"/>
      <c r="K363" s="291"/>
      <c r="L363" s="291"/>
      <c r="M363" s="295"/>
      <c r="N363" s="281" t="s">
        <v>5</v>
      </c>
      <c r="O363" s="284">
        <v>88267</v>
      </c>
      <c r="P363" s="6"/>
    </row>
    <row r="364" spans="2:16" ht="16.2" thickBot="1">
      <c r="B364" s="477"/>
      <c r="C364" s="478"/>
      <c r="D364" s="479"/>
      <c r="E364" s="479"/>
      <c r="F364" s="479"/>
      <c r="G364" s="479"/>
      <c r="H364" s="480"/>
      <c r="I364" s="481"/>
      <c r="J364" s="482"/>
      <c r="K364" s="483"/>
      <c r="L364" s="484"/>
      <c r="M364" s="485"/>
      <c r="N364" s="486"/>
      <c r="O364" s="487"/>
      <c r="P364" s="6"/>
    </row>
    <row r="365" spans="2:16" ht="21">
      <c r="B365" s="669" t="s">
        <v>458</v>
      </c>
      <c r="C365" s="655"/>
      <c r="D365" s="655"/>
      <c r="E365" s="655"/>
      <c r="F365" s="655"/>
      <c r="G365" s="655"/>
      <c r="H365" s="656"/>
      <c r="I365" s="299">
        <f>I280+I290+I295+I299+I304+I308+I312+I313+I317+I321+I325+I329+I333+I337+I341+I345+I349+I354+I358</f>
        <v>4716.82024</v>
      </c>
      <c r="J365" s="299">
        <f>J280+J290+J295+J299+J304+J308+J312+J313+J317+J321+J325+J329+J333+J337+J341+J345+J284+J349+J354+J358</f>
        <v>217371.74514166667</v>
      </c>
      <c r="K365" s="488">
        <f>K280+K290+K295+K299+K304+K308+K312+K313+K317+K321+K325+K329+K333+K337+K341+K345+K284+K349+K354+K358</f>
        <v>63370.019626561458</v>
      </c>
      <c r="L365" s="299">
        <f>L280+L290+L295+L299+L304+L308+L312+L313+L317+L321+L325+L329+L333+L337+L341+L345+L349+L354+L358</f>
        <v>1375.0866792229981</v>
      </c>
      <c r="M365" s="489">
        <f>SUM(M280:M363)</f>
        <v>286833.67168745119</v>
      </c>
      <c r="N365" s="429"/>
      <c r="O365" s="490"/>
      <c r="P365" s="9"/>
    </row>
    <row r="366" spans="2:16" ht="16.2" thickBot="1">
      <c r="B366" s="491">
        <v>5</v>
      </c>
      <c r="C366" s="492" t="s">
        <v>380</v>
      </c>
      <c r="D366" s="493"/>
      <c r="E366" s="493"/>
      <c r="F366" s="493"/>
      <c r="G366" s="493"/>
      <c r="H366" s="493"/>
      <c r="I366" s="493"/>
      <c r="J366" s="493"/>
      <c r="K366" s="494"/>
      <c r="L366" s="495"/>
      <c r="M366" s="496"/>
      <c r="N366" s="497"/>
      <c r="O366" s="497"/>
      <c r="P366" s="5"/>
    </row>
    <row r="367" spans="2:16" ht="15.6">
      <c r="B367" s="227" t="s">
        <v>73</v>
      </c>
      <c r="C367" s="286" t="s">
        <v>240</v>
      </c>
      <c r="D367" s="253" t="s">
        <v>8</v>
      </c>
      <c r="E367" s="239">
        <v>1</v>
      </c>
      <c r="F367" s="411"/>
      <c r="G367" s="411"/>
      <c r="H367" s="411"/>
      <c r="I367" s="241">
        <f>SUM(I368:I370)</f>
        <v>425.76</v>
      </c>
      <c r="J367" s="241">
        <f>SUM(J368:J370)</f>
        <v>1812.31</v>
      </c>
      <c r="K367" s="498">
        <f>J367*BDI_SERVIÇOS_MATERIAIS!$E$11</f>
        <v>528.33968920185771</v>
      </c>
      <c r="L367" s="250">
        <f>BDI_SERVIÇOS_MATERIAIS!$E$11*I367</f>
        <v>124.12109742515516</v>
      </c>
      <c r="M367" s="413">
        <f>SUM(I367:L367)</f>
        <v>2890.5307866270127</v>
      </c>
      <c r="N367" s="414"/>
      <c r="O367" s="415"/>
      <c r="P367" s="5"/>
    </row>
    <row r="368" spans="2:16" ht="45">
      <c r="B368" s="228"/>
      <c r="C368" s="335" t="s">
        <v>240</v>
      </c>
      <c r="D368" s="253" t="s">
        <v>8</v>
      </c>
      <c r="E368" s="253">
        <v>1</v>
      </c>
      <c r="F368" s="253">
        <v>1</v>
      </c>
      <c r="G368" s="253">
        <f>E368</f>
        <v>1</v>
      </c>
      <c r="H368" s="274">
        <v>1812.31</v>
      </c>
      <c r="I368" s="253"/>
      <c r="J368" s="274">
        <f>G368*H368</f>
        <v>1812.31</v>
      </c>
      <c r="K368" s="499">
        <f>J368*BDI_SERVIÇOS_MATERIAIS!$E$11</f>
        <v>528.33968920185771</v>
      </c>
      <c r="L368" s="341"/>
      <c r="M368" s="347"/>
      <c r="N368" s="253" t="s">
        <v>12</v>
      </c>
      <c r="O368" s="331" t="s">
        <v>622</v>
      </c>
      <c r="P368" s="10"/>
    </row>
    <row r="369" spans="2:16" ht="15.6">
      <c r="B369" s="228"/>
      <c r="C369" s="443" t="s">
        <v>447</v>
      </c>
      <c r="D369" s="253" t="s">
        <v>159</v>
      </c>
      <c r="E369" s="253">
        <v>8</v>
      </c>
      <c r="F369" s="253">
        <v>0</v>
      </c>
      <c r="G369" s="253">
        <f>E369-F369</f>
        <v>8</v>
      </c>
      <c r="H369" s="249">
        <v>28.55</v>
      </c>
      <c r="I369" s="274">
        <f>G369*H368:H369</f>
        <v>228.4</v>
      </c>
      <c r="J369" s="274"/>
      <c r="K369" s="499"/>
      <c r="L369" s="341">
        <f>BDI_SERVIÇOS_MATERIAIS!$E$11*I369</f>
        <v>66.585068235403597</v>
      </c>
      <c r="M369" s="347"/>
      <c r="N369" s="253" t="s">
        <v>619</v>
      </c>
      <c r="O369" s="254">
        <v>88264</v>
      </c>
      <c r="P369" s="10"/>
    </row>
    <row r="370" spans="2:16" ht="16.2" thickBot="1">
      <c r="B370" s="229"/>
      <c r="C370" s="500" t="s">
        <v>448</v>
      </c>
      <c r="D370" s="261" t="s">
        <v>159</v>
      </c>
      <c r="E370" s="261">
        <v>8</v>
      </c>
      <c r="F370" s="261">
        <v>0</v>
      </c>
      <c r="G370" s="261">
        <f>E370-F370</f>
        <v>8</v>
      </c>
      <c r="H370" s="355">
        <v>24.67</v>
      </c>
      <c r="I370" s="368">
        <f>G370*H370</f>
        <v>197.36</v>
      </c>
      <c r="J370" s="368"/>
      <c r="K370" s="499"/>
      <c r="L370" s="342">
        <f>BDI_SERVIÇOS_MATERIAIS!$E$11*I370</f>
        <v>57.536029189751559</v>
      </c>
      <c r="M370" s="363"/>
      <c r="N370" s="261" t="s">
        <v>5</v>
      </c>
      <c r="O370" s="364">
        <v>88247</v>
      </c>
      <c r="P370" s="10"/>
    </row>
    <row r="371" spans="2:16" ht="16.2" thickBot="1">
      <c r="B371" s="378" t="s">
        <v>74</v>
      </c>
      <c r="C371" s="501" t="s">
        <v>36</v>
      </c>
      <c r="D371" s="379" t="s">
        <v>8</v>
      </c>
      <c r="E371" s="379">
        <v>1</v>
      </c>
      <c r="F371" s="379">
        <v>1</v>
      </c>
      <c r="G371" s="379">
        <v>0</v>
      </c>
      <c r="H371" s="379"/>
      <c r="I371" s="379">
        <v>0</v>
      </c>
      <c r="J371" s="440"/>
      <c r="K371" s="498">
        <f>J371*BDI_SERVIÇOS_MATERIAIS!$E$11</f>
        <v>0</v>
      </c>
      <c r="L371" s="394">
        <f>BDI_SERVIÇOS_MATERIAIS!$E$11*I371</f>
        <v>0</v>
      </c>
      <c r="M371" s="442"/>
      <c r="N371" s="379"/>
      <c r="O371" s="384"/>
      <c r="P371" s="10"/>
    </row>
    <row r="372" spans="2:16" ht="15.6">
      <c r="B372" s="227" t="s">
        <v>75</v>
      </c>
      <c r="C372" s="286" t="s">
        <v>241</v>
      </c>
      <c r="D372" s="253" t="s">
        <v>8</v>
      </c>
      <c r="E372" s="244">
        <v>1</v>
      </c>
      <c r="F372" s="244"/>
      <c r="G372" s="244"/>
      <c r="H372" s="244"/>
      <c r="I372" s="288">
        <f>SUM(I373:I375)</f>
        <v>798.3</v>
      </c>
      <c r="J372" s="288">
        <f>SUM(J373:J375)</f>
        <v>2167.9</v>
      </c>
      <c r="K372" s="498">
        <f>J372*BDI_SERVIÇOS_MATERIAIS!$E$11</f>
        <v>632.00424442877181</v>
      </c>
      <c r="L372" s="313">
        <f>BDI_SERVIÇOS_MATERIAIS!$E$11*I372</f>
        <v>232.7270576721659</v>
      </c>
      <c r="M372" s="346">
        <f>SUM(I372:L372)</f>
        <v>3830.9313021009375</v>
      </c>
      <c r="N372" s="244"/>
      <c r="O372" s="245"/>
      <c r="P372" s="10"/>
    </row>
    <row r="373" spans="2:16" ht="15.6">
      <c r="B373" s="228"/>
      <c r="C373" s="335" t="s">
        <v>241</v>
      </c>
      <c r="D373" s="253" t="s">
        <v>8</v>
      </c>
      <c r="E373" s="253">
        <v>19</v>
      </c>
      <c r="F373" s="253">
        <v>19</v>
      </c>
      <c r="G373" s="253">
        <f t="shared" ref="G373:G389" si="27">E373</f>
        <v>19</v>
      </c>
      <c r="H373" s="274">
        <v>114.1</v>
      </c>
      <c r="I373" s="253"/>
      <c r="J373" s="274">
        <f>G373*H373</f>
        <v>2167.9</v>
      </c>
      <c r="K373" s="499">
        <f>J373*BDI_SERVIÇOS_MATERIAIS!$E$11</f>
        <v>632.00424442877181</v>
      </c>
      <c r="L373" s="341"/>
      <c r="M373" s="347"/>
      <c r="N373" s="253" t="s">
        <v>12</v>
      </c>
      <c r="O373" s="623">
        <v>44774</v>
      </c>
      <c r="P373" s="10"/>
    </row>
    <row r="374" spans="2:16" ht="15.6">
      <c r="B374" s="228"/>
      <c r="C374" s="443" t="s">
        <v>447</v>
      </c>
      <c r="D374" s="253" t="s">
        <v>159</v>
      </c>
      <c r="E374" s="253">
        <v>15</v>
      </c>
      <c r="F374" s="253">
        <v>0</v>
      </c>
      <c r="G374" s="253">
        <f>E374-F374</f>
        <v>15</v>
      </c>
      <c r="H374" s="249">
        <v>28.55</v>
      </c>
      <c r="I374" s="274">
        <f>H374*G374</f>
        <v>428.25</v>
      </c>
      <c r="J374" s="274"/>
      <c r="K374" s="499"/>
      <c r="L374" s="341">
        <f>BDI_SERVIÇOS_MATERIAIS!$E$11*I374</f>
        <v>124.84700294138176</v>
      </c>
      <c r="M374" s="347"/>
      <c r="N374" s="253" t="s">
        <v>5</v>
      </c>
      <c r="O374" s="254">
        <v>88264</v>
      </c>
      <c r="P374" s="10"/>
    </row>
    <row r="375" spans="2:16" ht="16.2" thickBot="1">
      <c r="B375" s="228"/>
      <c r="C375" s="445" t="s">
        <v>448</v>
      </c>
      <c r="D375" s="281" t="s">
        <v>159</v>
      </c>
      <c r="E375" s="281">
        <v>15</v>
      </c>
      <c r="F375" s="281">
        <v>0</v>
      </c>
      <c r="G375" s="281">
        <f>E375-F375</f>
        <v>15</v>
      </c>
      <c r="H375" s="283">
        <v>24.67</v>
      </c>
      <c r="I375" s="295">
        <f>H375*G375</f>
        <v>370.05</v>
      </c>
      <c r="J375" s="295"/>
      <c r="K375" s="499"/>
      <c r="L375" s="342">
        <f>BDI_SERVIÇOS_MATERIAIS!$E$11*I375</f>
        <v>107.88005473078417</v>
      </c>
      <c r="M375" s="348"/>
      <c r="N375" s="281" t="s">
        <v>5</v>
      </c>
      <c r="O375" s="284">
        <v>88247</v>
      </c>
      <c r="P375" s="10"/>
    </row>
    <row r="376" spans="2:16" ht="15.6">
      <c r="B376" s="227" t="s">
        <v>76</v>
      </c>
      <c r="C376" s="438" t="s">
        <v>37</v>
      </c>
      <c r="D376" s="253" t="s">
        <v>8</v>
      </c>
      <c r="E376" s="253">
        <v>1</v>
      </c>
      <c r="F376" s="244"/>
      <c r="G376" s="244"/>
      <c r="H376" s="287"/>
      <c r="I376" s="301">
        <f>SUM(I377:I379)</f>
        <v>53.22</v>
      </c>
      <c r="J376" s="502">
        <f>SUM(J377:J379)</f>
        <v>71.63</v>
      </c>
      <c r="K376" s="498">
        <f>J376*BDI_SERVIÇOS_MATERIAIS!$E$11</f>
        <v>20.882173545104902</v>
      </c>
      <c r="L376" s="313">
        <f>BDI_SERVIÇOS_MATERIAIS!$E$11*I376</f>
        <v>15.515137178144395</v>
      </c>
      <c r="M376" s="346">
        <f>SUM(I376:L376)</f>
        <v>161.24731072324929</v>
      </c>
      <c r="N376" s="244"/>
      <c r="O376" s="245"/>
      <c r="P376" s="10"/>
    </row>
    <row r="377" spans="2:16" ht="15.6">
      <c r="B377" s="228"/>
      <c r="C377" s="443" t="s">
        <v>37</v>
      </c>
      <c r="D377" s="253" t="s">
        <v>8</v>
      </c>
      <c r="E377" s="253">
        <v>1</v>
      </c>
      <c r="F377" s="253">
        <v>1</v>
      </c>
      <c r="G377" s="253">
        <f t="shared" si="27"/>
        <v>1</v>
      </c>
      <c r="H377" s="249">
        <v>71.63</v>
      </c>
      <c r="I377" s="253"/>
      <c r="J377" s="249">
        <f>H377*G377</f>
        <v>71.63</v>
      </c>
      <c r="K377" s="499">
        <f>J377*BDI_SERVIÇOS_MATERIAIS!$E$11</f>
        <v>20.882173545104902</v>
      </c>
      <c r="L377" s="341"/>
      <c r="M377" s="347"/>
      <c r="N377" s="253" t="s">
        <v>5</v>
      </c>
      <c r="O377" s="254">
        <v>39469</v>
      </c>
      <c r="P377" s="10"/>
    </row>
    <row r="378" spans="2:16" ht="15.6">
      <c r="B378" s="228"/>
      <c r="C378" s="443" t="s">
        <v>447</v>
      </c>
      <c r="D378" s="253" t="s">
        <v>159</v>
      </c>
      <c r="E378" s="253">
        <v>1</v>
      </c>
      <c r="F378" s="253">
        <v>0</v>
      </c>
      <c r="G378" s="253">
        <f>E378-F378</f>
        <v>1</v>
      </c>
      <c r="H378" s="249">
        <v>28.55</v>
      </c>
      <c r="I378" s="274">
        <f>G378*H378</f>
        <v>28.55</v>
      </c>
      <c r="J378" s="253"/>
      <c r="K378" s="499"/>
      <c r="L378" s="341">
        <f>BDI_SERVIÇOS_MATERIAIS!$E$11*I378</f>
        <v>8.3231335294254496</v>
      </c>
      <c r="M378" s="347"/>
      <c r="N378" s="253" t="s">
        <v>5</v>
      </c>
      <c r="O378" s="254">
        <v>88264</v>
      </c>
      <c r="P378" s="10"/>
    </row>
    <row r="379" spans="2:16" ht="16.2" thickBot="1">
      <c r="B379" s="228"/>
      <c r="C379" s="445" t="s">
        <v>448</v>
      </c>
      <c r="D379" s="281" t="s">
        <v>159</v>
      </c>
      <c r="E379" s="281">
        <v>1</v>
      </c>
      <c r="F379" s="281">
        <v>0</v>
      </c>
      <c r="G379" s="281">
        <f>E379-F379</f>
        <v>1</v>
      </c>
      <c r="H379" s="283">
        <v>24.67</v>
      </c>
      <c r="I379" s="295">
        <f>G379*H379</f>
        <v>24.67</v>
      </c>
      <c r="J379" s="281"/>
      <c r="K379" s="499"/>
      <c r="L379" s="342">
        <f>BDI_SERVIÇOS_MATERIAIS!$E$11*I379</f>
        <v>7.1920036487189449</v>
      </c>
      <c r="M379" s="348"/>
      <c r="N379" s="281" t="s">
        <v>5</v>
      </c>
      <c r="O379" s="284">
        <v>88247</v>
      </c>
      <c r="P379" s="10"/>
    </row>
    <row r="380" spans="2:16" ht="15.6">
      <c r="B380" s="227" t="s">
        <v>77</v>
      </c>
      <c r="C380" s="438" t="s">
        <v>38</v>
      </c>
      <c r="D380" s="253" t="s">
        <v>8</v>
      </c>
      <c r="E380" s="253">
        <v>1</v>
      </c>
      <c r="F380" s="244"/>
      <c r="G380" s="244"/>
      <c r="H380" s="287"/>
      <c r="I380" s="288">
        <f>SUM(I381:I383)</f>
        <v>53.22</v>
      </c>
      <c r="J380" s="288">
        <f>SUM(J381:J383)</f>
        <v>219.59</v>
      </c>
      <c r="K380" s="498">
        <f>J380*BDI_SERVIÇOS_MATERIAIS!$E$11</f>
        <v>64.016703738232394</v>
      </c>
      <c r="L380" s="313">
        <f>BDI_SERVIÇOS_MATERIAIS!$E$11*I380</f>
        <v>15.515137178144395</v>
      </c>
      <c r="M380" s="346">
        <f>SUM(I380:L380)</f>
        <v>352.34184091637678</v>
      </c>
      <c r="N380" s="244"/>
      <c r="O380" s="245"/>
      <c r="P380" s="10"/>
    </row>
    <row r="381" spans="2:16" ht="15.6">
      <c r="B381" s="228"/>
      <c r="C381" s="443" t="s">
        <v>38</v>
      </c>
      <c r="D381" s="253" t="s">
        <v>8</v>
      </c>
      <c r="E381" s="253">
        <v>1</v>
      </c>
      <c r="F381" s="253">
        <v>1</v>
      </c>
      <c r="G381" s="253">
        <f t="shared" si="27"/>
        <v>1</v>
      </c>
      <c r="H381" s="249">
        <v>219.59</v>
      </c>
      <c r="I381" s="253"/>
      <c r="J381" s="253">
        <f>G381*H381</f>
        <v>219.59</v>
      </c>
      <c r="K381" s="499">
        <f>J381*BDI_SERVIÇOS_MATERIAIS!$E$11</f>
        <v>64.016703738232394</v>
      </c>
      <c r="L381" s="341"/>
      <c r="M381" s="347"/>
      <c r="N381" s="253" t="s">
        <v>12</v>
      </c>
      <c r="O381" s="623">
        <v>44774</v>
      </c>
      <c r="P381" s="10"/>
    </row>
    <row r="382" spans="2:16" ht="15.6">
      <c r="B382" s="228"/>
      <c r="C382" s="443" t="s">
        <v>447</v>
      </c>
      <c r="D382" s="253" t="s">
        <v>159</v>
      </c>
      <c r="E382" s="253">
        <v>1</v>
      </c>
      <c r="F382" s="253">
        <v>0</v>
      </c>
      <c r="G382" s="253">
        <f>E382-F382</f>
        <v>1</v>
      </c>
      <c r="H382" s="249">
        <v>28.55</v>
      </c>
      <c r="I382" s="249">
        <f>G382*H382</f>
        <v>28.55</v>
      </c>
      <c r="J382" s="253"/>
      <c r="K382" s="499"/>
      <c r="L382" s="341">
        <f>BDI_SERVIÇOS_MATERIAIS!$E$11*I382</f>
        <v>8.3231335294254496</v>
      </c>
      <c r="M382" s="347"/>
      <c r="N382" s="253" t="s">
        <v>5</v>
      </c>
      <c r="O382" s="254">
        <v>88264</v>
      </c>
      <c r="P382" s="10"/>
    </row>
    <row r="383" spans="2:16" ht="16.2" thickBot="1">
      <c r="B383" s="228"/>
      <c r="C383" s="445" t="s">
        <v>448</v>
      </c>
      <c r="D383" s="281" t="s">
        <v>159</v>
      </c>
      <c r="E383" s="281">
        <v>1</v>
      </c>
      <c r="F383" s="281">
        <v>0</v>
      </c>
      <c r="G383" s="281">
        <f>E383-F383</f>
        <v>1</v>
      </c>
      <c r="H383" s="283">
        <v>24.67</v>
      </c>
      <c r="I383" s="283">
        <f>G383*H383</f>
        <v>24.67</v>
      </c>
      <c r="J383" s="281"/>
      <c r="K383" s="499"/>
      <c r="L383" s="342">
        <f>BDI_SERVIÇOS_MATERIAIS!$E$11*I383</f>
        <v>7.1920036487189449</v>
      </c>
      <c r="M383" s="348"/>
      <c r="N383" s="281" t="s">
        <v>5</v>
      </c>
      <c r="O383" s="284">
        <v>88247</v>
      </c>
      <c r="P383" s="10"/>
    </row>
    <row r="384" spans="2:16" ht="15.6">
      <c r="B384" s="227" t="s">
        <v>78</v>
      </c>
      <c r="C384" s="438" t="s">
        <v>239</v>
      </c>
      <c r="D384" s="253" t="s">
        <v>8</v>
      </c>
      <c r="E384" s="253">
        <v>31</v>
      </c>
      <c r="F384" s="244"/>
      <c r="G384" s="244"/>
      <c r="H384" s="287"/>
      <c r="I384" s="288">
        <f>SUM(I385:I387)</f>
        <v>532.20000000000005</v>
      </c>
      <c r="J384" s="301">
        <f>SUM(J385:J387)</f>
        <v>5213.58</v>
      </c>
      <c r="K384" s="498">
        <f>J384*BDI_SERVIÇOS_MATERIAIS!$E$11</f>
        <v>1519.9062173850066</v>
      </c>
      <c r="L384" s="313">
        <f>BDI_SERVIÇOS_MATERIAIS!$E$11*I384</f>
        <v>155.15137178144397</v>
      </c>
      <c r="M384" s="346">
        <f>SUM(I384:L384)</f>
        <v>7420.83758916645</v>
      </c>
      <c r="N384" s="244"/>
      <c r="O384" s="245"/>
      <c r="P384" s="10"/>
    </row>
    <row r="385" spans="2:16" ht="15.6">
      <c r="B385" s="228"/>
      <c r="C385" s="335" t="s">
        <v>239</v>
      </c>
      <c r="D385" s="253" t="s">
        <v>8</v>
      </c>
      <c r="E385" s="253">
        <v>31</v>
      </c>
      <c r="F385" s="253">
        <v>19</v>
      </c>
      <c r="G385" s="253">
        <f t="shared" si="27"/>
        <v>31</v>
      </c>
      <c r="H385" s="274">
        <v>168.18</v>
      </c>
      <c r="I385" s="253"/>
      <c r="J385" s="274">
        <f>G385*H385</f>
        <v>5213.58</v>
      </c>
      <c r="K385" s="499">
        <f>J385*BDI_SERVIÇOS_MATERIAIS!$E$11</f>
        <v>1519.9062173850066</v>
      </c>
      <c r="L385" s="341"/>
      <c r="M385" s="347"/>
      <c r="N385" s="253" t="s">
        <v>12</v>
      </c>
      <c r="O385" s="623">
        <v>44774</v>
      </c>
      <c r="P385" s="10"/>
    </row>
    <row r="386" spans="2:16" ht="15.6">
      <c r="B386" s="228"/>
      <c r="C386" s="443" t="s">
        <v>447</v>
      </c>
      <c r="D386" s="253" t="s">
        <v>159</v>
      </c>
      <c r="E386" s="253">
        <v>10</v>
      </c>
      <c r="F386" s="253">
        <v>0</v>
      </c>
      <c r="G386" s="253">
        <f>E386-F386</f>
        <v>10</v>
      </c>
      <c r="H386" s="249">
        <v>28.55</v>
      </c>
      <c r="I386" s="274">
        <f>H386*G386</f>
        <v>285.5</v>
      </c>
      <c r="J386" s="274"/>
      <c r="K386" s="499"/>
      <c r="L386" s="341">
        <f>BDI_SERVIÇOS_MATERIAIS!$E$11*I386</f>
        <v>83.231335294254507</v>
      </c>
      <c r="M386" s="347"/>
      <c r="N386" s="253" t="s">
        <v>5</v>
      </c>
      <c r="O386" s="254">
        <v>88264</v>
      </c>
      <c r="P386" s="10"/>
    </row>
    <row r="387" spans="2:16" ht="16.2" thickBot="1">
      <c r="B387" s="228"/>
      <c r="C387" s="445" t="s">
        <v>448</v>
      </c>
      <c r="D387" s="281" t="s">
        <v>159</v>
      </c>
      <c r="E387" s="281">
        <v>10</v>
      </c>
      <c r="F387" s="281">
        <v>0</v>
      </c>
      <c r="G387" s="281">
        <f>E387-F387</f>
        <v>10</v>
      </c>
      <c r="H387" s="283">
        <v>24.67</v>
      </c>
      <c r="I387" s="295">
        <f>H387*G387</f>
        <v>246.70000000000002</v>
      </c>
      <c r="J387" s="295"/>
      <c r="K387" s="499"/>
      <c r="L387" s="342">
        <f>BDI_SERVIÇOS_MATERIAIS!$E$11*I387</f>
        <v>71.920036487189449</v>
      </c>
      <c r="M387" s="348"/>
      <c r="N387" s="281" t="s">
        <v>5</v>
      </c>
      <c r="O387" s="284">
        <v>88247</v>
      </c>
      <c r="P387" s="10"/>
    </row>
    <row r="388" spans="2:16" ht="15.6">
      <c r="B388" s="227" t="s">
        <v>79</v>
      </c>
      <c r="C388" s="286" t="s">
        <v>39</v>
      </c>
      <c r="D388" s="253" t="s">
        <v>8</v>
      </c>
      <c r="E388" s="253">
        <v>19</v>
      </c>
      <c r="F388" s="244"/>
      <c r="G388" s="244"/>
      <c r="H388" s="287"/>
      <c r="I388" s="288">
        <f>SUM(I389:I391)</f>
        <v>532.20000000000005</v>
      </c>
      <c r="J388" s="301">
        <f>SUM(J389:J391)</f>
        <v>1515.44</v>
      </c>
      <c r="K388" s="498">
        <f>J388*BDI_SERVIÇOS_MATERIAIS!$E$11</f>
        <v>441.79367691182154</v>
      </c>
      <c r="L388" s="241">
        <f>BDI_SERVIÇOS_MATERIAIS!$E$11*I388</f>
        <v>155.15137178144397</v>
      </c>
      <c r="M388" s="346">
        <f>SUM(I388:L388)</f>
        <v>2644.5850486932659</v>
      </c>
      <c r="N388" s="244"/>
      <c r="O388" s="245"/>
      <c r="P388" s="10"/>
    </row>
    <row r="389" spans="2:16" ht="15.6">
      <c r="B389" s="228"/>
      <c r="C389" s="335" t="s">
        <v>39</v>
      </c>
      <c r="D389" s="253" t="s">
        <v>8</v>
      </c>
      <c r="E389" s="253">
        <v>19</v>
      </c>
      <c r="F389" s="253">
        <v>0</v>
      </c>
      <c r="G389" s="253">
        <f t="shared" si="27"/>
        <v>19</v>
      </c>
      <c r="H389" s="274">
        <v>79.760000000000005</v>
      </c>
      <c r="I389" s="253"/>
      <c r="J389" s="274">
        <f>G389*H389</f>
        <v>1515.44</v>
      </c>
      <c r="K389" s="499">
        <f>J389*BDI_SERVIÇOS_MATERIAIS!$E$11</f>
        <v>441.79367691182154</v>
      </c>
      <c r="L389" s="341"/>
      <c r="M389" s="347"/>
      <c r="N389" s="253" t="s">
        <v>12</v>
      </c>
      <c r="O389" s="623">
        <v>44774</v>
      </c>
      <c r="P389" s="10"/>
    </row>
    <row r="390" spans="2:16" ht="15.6">
      <c r="B390" s="228"/>
      <c r="C390" s="443" t="s">
        <v>447</v>
      </c>
      <c r="D390" s="253" t="s">
        <v>159</v>
      </c>
      <c r="E390" s="253">
        <v>10</v>
      </c>
      <c r="F390" s="253">
        <v>0</v>
      </c>
      <c r="G390" s="253">
        <f>E390-F390</f>
        <v>10</v>
      </c>
      <c r="H390" s="249">
        <v>28.55</v>
      </c>
      <c r="I390" s="274">
        <f>H390*G390</f>
        <v>285.5</v>
      </c>
      <c r="J390" s="274"/>
      <c r="K390" s="499"/>
      <c r="L390" s="341">
        <f>BDI_SERVIÇOS_MATERIAIS!$E$11*I390</f>
        <v>83.231335294254507</v>
      </c>
      <c r="M390" s="347"/>
      <c r="N390" s="253" t="s">
        <v>5</v>
      </c>
      <c r="O390" s="254">
        <v>88264</v>
      </c>
      <c r="P390" s="10"/>
    </row>
    <row r="391" spans="2:16" ht="16.2" thickBot="1">
      <c r="B391" s="229"/>
      <c r="C391" s="445" t="s">
        <v>448</v>
      </c>
      <c r="D391" s="281" t="s">
        <v>159</v>
      </c>
      <c r="E391" s="281">
        <v>10</v>
      </c>
      <c r="F391" s="281">
        <v>0</v>
      </c>
      <c r="G391" s="281">
        <f>E391-F391</f>
        <v>10</v>
      </c>
      <c r="H391" s="283">
        <v>24.67</v>
      </c>
      <c r="I391" s="295">
        <f>H391*G391</f>
        <v>246.70000000000002</v>
      </c>
      <c r="J391" s="295"/>
      <c r="K391" s="503"/>
      <c r="L391" s="342">
        <f>BDI_SERVIÇOS_MATERIAIS!$E$11*I391</f>
        <v>71.920036487189449</v>
      </c>
      <c r="M391" s="348"/>
      <c r="N391" s="281" t="s">
        <v>5</v>
      </c>
      <c r="O391" s="284">
        <v>88247</v>
      </c>
      <c r="P391" s="10"/>
    </row>
    <row r="392" spans="2:16" ht="15.6">
      <c r="B392" s="227" t="s">
        <v>221</v>
      </c>
      <c r="C392" s="438" t="s">
        <v>220</v>
      </c>
      <c r="D392" s="244" t="s">
        <v>430</v>
      </c>
      <c r="E392" s="244">
        <v>1067</v>
      </c>
      <c r="F392" s="244"/>
      <c r="G392" s="244"/>
      <c r="H392" s="244"/>
      <c r="I392" s="301">
        <f>SUM(I406:I408)</f>
        <v>9472.3900000000012</v>
      </c>
      <c r="J392" s="301">
        <f>SUM(J393:J408)</f>
        <v>20866.940000000002</v>
      </c>
      <c r="K392" s="498">
        <f>J392*BDI_SERVIÇOS_MATERIAIS!$E$11</f>
        <v>6083.3039569355205</v>
      </c>
      <c r="L392" s="241">
        <f>BDI_SERVIÇOS_MATERIAIS!$E$11*I392</f>
        <v>2761.4699409034797</v>
      </c>
      <c r="M392" s="346">
        <f>SUM(I392:L392)</f>
        <v>39184.103897838999</v>
      </c>
      <c r="N392" s="244"/>
      <c r="O392" s="245"/>
      <c r="P392" s="10"/>
    </row>
    <row r="393" spans="2:16" ht="30.6">
      <c r="B393" s="228"/>
      <c r="C393" s="443" t="s">
        <v>438</v>
      </c>
      <c r="D393" s="253" t="s">
        <v>8</v>
      </c>
      <c r="E393" s="253">
        <v>356</v>
      </c>
      <c r="F393" s="253">
        <v>0</v>
      </c>
      <c r="G393" s="253">
        <f>E393-F393</f>
        <v>356</v>
      </c>
      <c r="H393" s="249">
        <v>16.399999999999999</v>
      </c>
      <c r="I393" s="253"/>
      <c r="J393" s="274">
        <f>H393*G393</f>
        <v>5838.4</v>
      </c>
      <c r="K393" s="499">
        <f>J393*BDI_SERVIÇOS_MATERIAIS!$E$11</f>
        <v>1702.0589421435218</v>
      </c>
      <c r="L393" s="341"/>
      <c r="M393" s="347"/>
      <c r="N393" s="253" t="s">
        <v>5</v>
      </c>
      <c r="O393" s="254">
        <v>39253</v>
      </c>
      <c r="P393" s="10"/>
    </row>
    <row r="394" spans="2:16" ht="30.6">
      <c r="B394" s="228"/>
      <c r="C394" s="443" t="s">
        <v>439</v>
      </c>
      <c r="D394" s="253" t="s">
        <v>8</v>
      </c>
      <c r="E394" s="253">
        <f>1280*2</f>
        <v>2560</v>
      </c>
      <c r="F394" s="253">
        <v>0</v>
      </c>
      <c r="G394" s="253">
        <f t="shared" ref="G394:G408" si="28">E394-F394</f>
        <v>2560</v>
      </c>
      <c r="H394" s="249">
        <v>1.2</v>
      </c>
      <c r="I394" s="253"/>
      <c r="J394" s="274">
        <f t="shared" ref="J394:J401" si="29">H394*G394</f>
        <v>3072</v>
      </c>
      <c r="K394" s="499">
        <f>J394*BDI_SERVIÇOS_MATERIAIS!$E$11</f>
        <v>895.57499833257384</v>
      </c>
      <c r="L394" s="341"/>
      <c r="M394" s="347"/>
      <c r="N394" s="253" t="s">
        <v>5</v>
      </c>
      <c r="O394" s="254">
        <v>938</v>
      </c>
      <c r="P394" s="10"/>
    </row>
    <row r="395" spans="2:16" ht="15.6">
      <c r="B395" s="228"/>
      <c r="C395" s="443" t="s">
        <v>437</v>
      </c>
      <c r="D395" s="253" t="s">
        <v>8</v>
      </c>
      <c r="E395" s="253">
        <v>1280</v>
      </c>
      <c r="F395" s="253">
        <v>0</v>
      </c>
      <c r="G395" s="253">
        <f t="shared" si="28"/>
        <v>1280</v>
      </c>
      <c r="H395" s="249">
        <v>4.13</v>
      </c>
      <c r="I395" s="253"/>
      <c r="J395" s="274">
        <f t="shared" si="29"/>
        <v>5286.4</v>
      </c>
      <c r="K395" s="499">
        <f>J395*BDI_SERVIÇOS_MATERIAIS!$E$11</f>
        <v>1541.1353096306373</v>
      </c>
      <c r="L395" s="341"/>
      <c r="M395" s="347"/>
      <c r="N395" s="253" t="s">
        <v>12</v>
      </c>
      <c r="O395" s="623">
        <v>44774</v>
      </c>
      <c r="P395" s="10"/>
    </row>
    <row r="396" spans="2:16" ht="30.6">
      <c r="B396" s="228"/>
      <c r="C396" s="443" t="s">
        <v>440</v>
      </c>
      <c r="D396" s="253" t="s">
        <v>8</v>
      </c>
      <c r="E396" s="253">
        <v>711</v>
      </c>
      <c r="F396" s="253">
        <v>0</v>
      </c>
      <c r="G396" s="253">
        <f t="shared" si="28"/>
        <v>711</v>
      </c>
      <c r="H396" s="249">
        <v>2.08</v>
      </c>
      <c r="I396" s="253"/>
      <c r="J396" s="274">
        <f t="shared" si="29"/>
        <v>1478.88</v>
      </c>
      <c r="K396" s="499">
        <f>J396*BDI_SERVIÇOS_MATERIAIS!$E$11</f>
        <v>431.13540154104066</v>
      </c>
      <c r="L396" s="341"/>
      <c r="M396" s="347"/>
      <c r="N396" s="253" t="s">
        <v>5</v>
      </c>
      <c r="O396" s="254">
        <v>39128</v>
      </c>
      <c r="P396" s="10"/>
    </row>
    <row r="397" spans="2:16" ht="30.6">
      <c r="B397" s="228"/>
      <c r="C397" s="443" t="s">
        <v>441</v>
      </c>
      <c r="D397" s="253" t="s">
        <v>8</v>
      </c>
      <c r="E397" s="253">
        <v>71</v>
      </c>
      <c r="F397" s="253">
        <v>0</v>
      </c>
      <c r="G397" s="253">
        <f t="shared" si="28"/>
        <v>71</v>
      </c>
      <c r="H397" s="249">
        <v>6.79</v>
      </c>
      <c r="I397" s="253"/>
      <c r="J397" s="274">
        <f t="shared" si="29"/>
        <v>482.09</v>
      </c>
      <c r="K397" s="499">
        <f>J397*BDI_SERVIÇOS_MATERIAIS!$E$11</f>
        <v>140.54288767778337</v>
      </c>
      <c r="L397" s="341"/>
      <c r="M397" s="347"/>
      <c r="N397" s="253" t="s">
        <v>5</v>
      </c>
      <c r="O397" s="254">
        <v>2633</v>
      </c>
      <c r="P397" s="10"/>
    </row>
    <row r="398" spans="2:16" ht="30.6">
      <c r="B398" s="228"/>
      <c r="C398" s="443" t="s">
        <v>442</v>
      </c>
      <c r="D398" s="253" t="s">
        <v>8</v>
      </c>
      <c r="E398" s="253">
        <v>190</v>
      </c>
      <c r="F398" s="253">
        <v>0</v>
      </c>
      <c r="G398" s="253">
        <f t="shared" si="28"/>
        <v>190</v>
      </c>
      <c r="H398" s="249">
        <v>13.42</v>
      </c>
      <c r="I398" s="253"/>
      <c r="J398" s="274">
        <f t="shared" si="29"/>
        <v>2549.8000000000002</v>
      </c>
      <c r="K398" s="499">
        <f>J398*BDI_SERVIÇOS_MATERIAIS!$E$11</f>
        <v>743.33890974882718</v>
      </c>
      <c r="L398" s="341"/>
      <c r="M398" s="347"/>
      <c r="N398" s="253" t="s">
        <v>5</v>
      </c>
      <c r="O398" s="254">
        <v>2574</v>
      </c>
      <c r="P398" s="10"/>
    </row>
    <row r="399" spans="2:16" ht="30.6">
      <c r="B399" s="228"/>
      <c r="C399" s="443" t="s">
        <v>443</v>
      </c>
      <c r="D399" s="253" t="s">
        <v>8</v>
      </c>
      <c r="E399" s="253">
        <v>237</v>
      </c>
      <c r="F399" s="253">
        <v>0</v>
      </c>
      <c r="G399" s="253">
        <f t="shared" si="28"/>
        <v>237</v>
      </c>
      <c r="H399" s="249">
        <v>2.56</v>
      </c>
      <c r="I399" s="253"/>
      <c r="J399" s="274">
        <f t="shared" si="29"/>
        <v>606.72</v>
      </c>
      <c r="K399" s="499">
        <f>J399*BDI_SERVIÇOS_MATERIAIS!$E$11</f>
        <v>176.87606217068335</v>
      </c>
      <c r="L399" s="341"/>
      <c r="M399" s="347"/>
      <c r="N399" s="253" t="s">
        <v>5</v>
      </c>
      <c r="O399" s="254">
        <v>2637</v>
      </c>
      <c r="P399" s="10"/>
    </row>
    <row r="400" spans="2:16" ht="15.6">
      <c r="B400" s="228"/>
      <c r="C400" s="443" t="s">
        <v>444</v>
      </c>
      <c r="D400" s="253" t="s">
        <v>8</v>
      </c>
      <c r="E400" s="253">
        <v>901</v>
      </c>
      <c r="F400" s="253">
        <v>0</v>
      </c>
      <c r="G400" s="253">
        <f t="shared" si="28"/>
        <v>901</v>
      </c>
      <c r="H400" s="249">
        <v>0.06</v>
      </c>
      <c r="I400" s="253"/>
      <c r="J400" s="274">
        <f t="shared" si="29"/>
        <v>54.059999999999995</v>
      </c>
      <c r="K400" s="499">
        <f>J400*BDI_SERVIÇOS_MATERIAIS!$E$11</f>
        <v>15.760020966750956</v>
      </c>
      <c r="L400" s="341"/>
      <c r="M400" s="347"/>
      <c r="N400" s="253" t="s">
        <v>5</v>
      </c>
      <c r="O400" s="254">
        <v>11946</v>
      </c>
      <c r="P400" s="10"/>
    </row>
    <row r="401" spans="2:16" ht="30.6">
      <c r="B401" s="228"/>
      <c r="C401" s="443" t="s">
        <v>445</v>
      </c>
      <c r="D401" s="253" t="s">
        <v>8</v>
      </c>
      <c r="E401" s="253">
        <v>901</v>
      </c>
      <c r="F401" s="253">
        <v>0</v>
      </c>
      <c r="G401" s="253">
        <f t="shared" si="28"/>
        <v>901</v>
      </c>
      <c r="H401" s="249">
        <v>0.39</v>
      </c>
      <c r="I401" s="253"/>
      <c r="J401" s="274">
        <f t="shared" si="29"/>
        <v>351.39</v>
      </c>
      <c r="K401" s="499">
        <f>J401*BDI_SERVIÇOS_MATERIAIS!$E$11</f>
        <v>102.44013628388122</v>
      </c>
      <c r="L401" s="341"/>
      <c r="M401" s="347"/>
      <c r="N401" s="253" t="s">
        <v>5</v>
      </c>
      <c r="O401" s="254">
        <v>11059</v>
      </c>
      <c r="P401" s="10"/>
    </row>
    <row r="402" spans="2:16" ht="15.6">
      <c r="B402" s="228"/>
      <c r="C402" s="443" t="s">
        <v>446</v>
      </c>
      <c r="D402" s="253" t="s">
        <v>8</v>
      </c>
      <c r="E402" s="253">
        <v>4</v>
      </c>
      <c r="F402" s="253">
        <v>0</v>
      </c>
      <c r="G402" s="253">
        <f t="shared" si="28"/>
        <v>4</v>
      </c>
      <c r="H402" s="249">
        <v>18</v>
      </c>
      <c r="I402" s="253"/>
      <c r="J402" s="274">
        <f>H402*G402</f>
        <v>72</v>
      </c>
      <c r="K402" s="499">
        <f>J402*BDI_SERVIÇOS_MATERIAIS!$E$11</f>
        <v>20.990039023419698</v>
      </c>
      <c r="L402" s="341"/>
      <c r="M402" s="347"/>
      <c r="N402" s="253" t="s">
        <v>5</v>
      </c>
      <c r="O402" s="254">
        <v>20111</v>
      </c>
      <c r="P402" s="10"/>
    </row>
    <row r="403" spans="2:16" ht="15.6">
      <c r="B403" s="228"/>
      <c r="C403" s="443" t="s">
        <v>450</v>
      </c>
      <c r="D403" s="253" t="s">
        <v>185</v>
      </c>
      <c r="E403" s="253">
        <v>10</v>
      </c>
      <c r="F403" s="253">
        <v>0</v>
      </c>
      <c r="G403" s="253">
        <f t="shared" si="28"/>
        <v>10</v>
      </c>
      <c r="H403" s="249">
        <v>36.68</v>
      </c>
      <c r="I403" s="253"/>
      <c r="J403" s="274">
        <f>G403*H403</f>
        <v>366.8</v>
      </c>
      <c r="K403" s="499">
        <f>J403*BDI_SERVIÇOS_MATERIAIS!$E$11</f>
        <v>106.93258769153259</v>
      </c>
      <c r="L403" s="341"/>
      <c r="M403" s="347"/>
      <c r="N403" s="253" t="s">
        <v>5</v>
      </c>
      <c r="O403" s="254">
        <v>7292</v>
      </c>
      <c r="P403" s="10"/>
    </row>
    <row r="404" spans="2:16" ht="15.6">
      <c r="B404" s="228"/>
      <c r="C404" s="443" t="s">
        <v>184</v>
      </c>
      <c r="D404" s="253" t="s">
        <v>185</v>
      </c>
      <c r="E404" s="253">
        <v>15</v>
      </c>
      <c r="F404" s="253">
        <v>0</v>
      </c>
      <c r="G404" s="253">
        <f t="shared" si="28"/>
        <v>15</v>
      </c>
      <c r="H404" s="249">
        <v>39.56</v>
      </c>
      <c r="I404" s="253"/>
      <c r="J404" s="274">
        <f>G404*H404</f>
        <v>593.40000000000009</v>
      </c>
      <c r="K404" s="499">
        <f>J404*BDI_SERVIÇOS_MATERIAIS!$E$11</f>
        <v>172.99290495135071</v>
      </c>
      <c r="L404" s="341"/>
      <c r="M404" s="347"/>
      <c r="N404" s="253" t="s">
        <v>5</v>
      </c>
      <c r="O404" s="254">
        <v>7307</v>
      </c>
      <c r="P404" s="10"/>
    </row>
    <row r="405" spans="2:16" ht="15.6">
      <c r="B405" s="228"/>
      <c r="C405" s="443" t="s">
        <v>451</v>
      </c>
      <c r="D405" s="253" t="s">
        <v>185</v>
      </c>
      <c r="E405" s="253">
        <v>5</v>
      </c>
      <c r="F405" s="253">
        <v>0</v>
      </c>
      <c r="G405" s="253">
        <f t="shared" si="28"/>
        <v>5</v>
      </c>
      <c r="H405" s="249">
        <v>23</v>
      </c>
      <c r="I405" s="253"/>
      <c r="J405" s="274">
        <f>G405*H405</f>
        <v>115</v>
      </c>
      <c r="K405" s="499">
        <f>J405*BDI_SERVIÇOS_MATERIAIS!$E$11</f>
        <v>33.525756773517578</v>
      </c>
      <c r="L405" s="341"/>
      <c r="M405" s="347"/>
      <c r="N405" s="253" t="s">
        <v>5</v>
      </c>
      <c r="O405" s="254">
        <v>5318</v>
      </c>
      <c r="P405" s="10"/>
    </row>
    <row r="406" spans="2:16" ht="15.6">
      <c r="B406" s="228"/>
      <c r="C406" s="443" t="s">
        <v>449</v>
      </c>
      <c r="D406" s="253" t="s">
        <v>159</v>
      </c>
      <c r="E406" s="253">
        <v>37</v>
      </c>
      <c r="F406" s="253">
        <v>0</v>
      </c>
      <c r="G406" s="253">
        <f t="shared" si="28"/>
        <v>37</v>
      </c>
      <c r="H406" s="249">
        <v>25.87</v>
      </c>
      <c r="I406" s="274">
        <f>H406*G406</f>
        <v>957.19</v>
      </c>
      <c r="J406" s="274">
        <v>0</v>
      </c>
      <c r="K406" s="499"/>
      <c r="L406" s="341">
        <f>BDI_SERVIÇOS_MATERIAIS!$E$11*I406</f>
        <v>279.04799240037642</v>
      </c>
      <c r="M406" s="347"/>
      <c r="N406" s="253" t="s">
        <v>5</v>
      </c>
      <c r="O406" s="254">
        <v>88312</v>
      </c>
      <c r="P406" s="10"/>
    </row>
    <row r="407" spans="2:16" ht="15.6">
      <c r="B407" s="228"/>
      <c r="C407" s="443" t="s">
        <v>447</v>
      </c>
      <c r="D407" s="253" t="s">
        <v>159</v>
      </c>
      <c r="E407" s="253">
        <v>160</v>
      </c>
      <c r="F407" s="253">
        <v>0</v>
      </c>
      <c r="G407" s="253">
        <f t="shared" si="28"/>
        <v>160</v>
      </c>
      <c r="H407" s="249">
        <v>28.55</v>
      </c>
      <c r="I407" s="274">
        <f>G407*H407</f>
        <v>4568</v>
      </c>
      <c r="J407" s="274">
        <v>0</v>
      </c>
      <c r="K407" s="499"/>
      <c r="L407" s="341">
        <f>BDI_SERVIÇOS_MATERIAIS!$E$11*I407</f>
        <v>1331.7013647080721</v>
      </c>
      <c r="M407" s="347"/>
      <c r="N407" s="253" t="s">
        <v>5</v>
      </c>
      <c r="O407" s="254">
        <v>88264</v>
      </c>
      <c r="P407" s="10"/>
    </row>
    <row r="408" spans="2:16" ht="16.2" thickBot="1">
      <c r="B408" s="229"/>
      <c r="C408" s="445" t="s">
        <v>448</v>
      </c>
      <c r="D408" s="281" t="s">
        <v>159</v>
      </c>
      <c r="E408" s="281">
        <v>160</v>
      </c>
      <c r="F408" s="281"/>
      <c r="G408" s="253">
        <f t="shared" si="28"/>
        <v>160</v>
      </c>
      <c r="H408" s="283">
        <v>24.67</v>
      </c>
      <c r="I408" s="295">
        <f>G408*H408</f>
        <v>3947.2000000000003</v>
      </c>
      <c r="J408" s="295">
        <v>0</v>
      </c>
      <c r="K408" s="503"/>
      <c r="L408" s="342">
        <f>BDI_SERVIÇOS_MATERIAIS!$E$11*I408</f>
        <v>1150.7205837950312</v>
      </c>
      <c r="M408" s="348"/>
      <c r="N408" s="281" t="s">
        <v>5</v>
      </c>
      <c r="O408" s="284">
        <v>88247</v>
      </c>
      <c r="P408" s="10"/>
    </row>
    <row r="409" spans="2:16" ht="21">
      <c r="B409" s="654" t="s">
        <v>142</v>
      </c>
      <c r="C409" s="655"/>
      <c r="D409" s="655"/>
      <c r="E409" s="655"/>
      <c r="F409" s="655"/>
      <c r="G409" s="655"/>
      <c r="H409" s="656"/>
      <c r="I409" s="301">
        <f>I367+I372+I376+I380+I384+I388+I392</f>
        <v>11867.29</v>
      </c>
      <c r="J409" s="301">
        <f>J367+J372+J376+J380+J384+J388+J392</f>
        <v>31867.390000000003</v>
      </c>
      <c r="K409" s="502">
        <f t="shared" ref="K409:L409" si="30">K367+K372+K376+K380+K384+K388+K392</f>
        <v>9290.2466621463154</v>
      </c>
      <c r="L409" s="299">
        <f t="shared" si="30"/>
        <v>3459.6511139199774</v>
      </c>
      <c r="M409" s="430">
        <f>SUM(M367:M408)</f>
        <v>56484.57777606629</v>
      </c>
      <c r="N409" s="427"/>
      <c r="O409" s="431"/>
      <c r="P409" s="9"/>
    </row>
    <row r="410" spans="2:16" ht="16.2" thickBot="1">
      <c r="B410" s="432">
        <v>6</v>
      </c>
      <c r="C410" s="433" t="s">
        <v>381</v>
      </c>
      <c r="D410" s="407"/>
      <c r="E410" s="407"/>
      <c r="F410" s="407"/>
      <c r="G410" s="407"/>
      <c r="H410" s="407"/>
      <c r="I410" s="407"/>
      <c r="J410" s="407"/>
      <c r="K410" s="434"/>
      <c r="L410" s="407"/>
      <c r="M410" s="435"/>
      <c r="N410" s="436"/>
      <c r="O410" s="436"/>
      <c r="P410" s="5"/>
    </row>
    <row r="411" spans="2:16" ht="15.6">
      <c r="B411" s="285" t="s">
        <v>125</v>
      </c>
      <c r="C411" s="286" t="s">
        <v>190</v>
      </c>
      <c r="D411" s="414" t="s">
        <v>8</v>
      </c>
      <c r="E411" s="414">
        <v>38</v>
      </c>
      <c r="F411" s="414"/>
      <c r="G411" s="414"/>
      <c r="H411" s="504"/>
      <c r="I411" s="288">
        <f>SUM(I412:I415)</f>
        <v>590.29199999999992</v>
      </c>
      <c r="J411" s="288">
        <f>SUM(J412:J415)</f>
        <v>23.56</v>
      </c>
      <c r="K411" s="505">
        <f>BDI_SERVIÇOS_MATERIAIS!$E$11*J411</f>
        <v>6.8684072137745567</v>
      </c>
      <c r="L411" s="270">
        <f>BDI_SERVIÇOS_MATERIAIS!$E$11*I411</f>
        <v>172.0868349335064</v>
      </c>
      <c r="M411" s="326">
        <f>SUM(I411:L411)</f>
        <v>792.8072421472807</v>
      </c>
      <c r="N411" s="414"/>
      <c r="O411" s="415"/>
      <c r="P411" s="6"/>
    </row>
    <row r="412" spans="2:16" ht="30.6">
      <c r="B412" s="233"/>
      <c r="C412" s="335" t="s">
        <v>155</v>
      </c>
      <c r="D412" s="253" t="s">
        <v>8</v>
      </c>
      <c r="E412" s="253">
        <f>1*E411</f>
        <v>38</v>
      </c>
      <c r="F412" s="253">
        <v>0</v>
      </c>
      <c r="G412" s="253">
        <f t="shared" ref="G412:G425" si="31">E412-F412</f>
        <v>38</v>
      </c>
      <c r="H412" s="249">
        <v>0.62</v>
      </c>
      <c r="I412" s="249"/>
      <c r="J412" s="249">
        <f>E412*H412</f>
        <v>23.56</v>
      </c>
      <c r="K412" s="506">
        <f>BDI_SERVIÇOS_MATERIAIS!$E$11*J412</f>
        <v>6.8684072137745567</v>
      </c>
      <c r="L412" s="249"/>
      <c r="M412" s="319"/>
      <c r="N412" s="253" t="s">
        <v>5</v>
      </c>
      <c r="O412" s="254">
        <v>4350</v>
      </c>
      <c r="P412" s="6"/>
    </row>
    <row r="413" spans="2:16" ht="30.6">
      <c r="B413" s="233"/>
      <c r="C413" s="335" t="s">
        <v>156</v>
      </c>
      <c r="D413" s="253" t="s">
        <v>8</v>
      </c>
      <c r="E413" s="253">
        <f>E411*1</f>
        <v>38</v>
      </c>
      <c r="F413" s="253">
        <v>38</v>
      </c>
      <c r="G413" s="253">
        <f t="shared" si="31"/>
        <v>0</v>
      </c>
      <c r="H413" s="249">
        <v>173.03</v>
      </c>
      <c r="I413" s="249"/>
      <c r="J413" s="249">
        <f>G413*H413</f>
        <v>0</v>
      </c>
      <c r="K413" s="506">
        <f>BDI_SERVIÇOS_MATERIAIS!$E$11*J413</f>
        <v>0</v>
      </c>
      <c r="L413" s="249">
        <f>BDI_SERVIÇOS_MATERIAIS!$E$11*I413</f>
        <v>0</v>
      </c>
      <c r="M413" s="319"/>
      <c r="N413" s="253" t="s">
        <v>5</v>
      </c>
      <c r="O413" s="254">
        <v>10891</v>
      </c>
      <c r="P413" s="6"/>
    </row>
    <row r="414" spans="2:16" ht="15.6">
      <c r="B414" s="233"/>
      <c r="C414" s="335" t="s">
        <v>157</v>
      </c>
      <c r="D414" s="253" t="s">
        <v>159</v>
      </c>
      <c r="E414" s="253">
        <f>E411*0.3</f>
        <v>11.4</v>
      </c>
      <c r="F414" s="253">
        <v>0</v>
      </c>
      <c r="G414" s="253">
        <f t="shared" si="31"/>
        <v>11.4</v>
      </c>
      <c r="H414" s="507">
        <v>29.06</v>
      </c>
      <c r="I414" s="249">
        <f>G414*H414</f>
        <v>331.28399999999999</v>
      </c>
      <c r="J414" s="249"/>
      <c r="K414" s="506"/>
      <c r="L414" s="249">
        <f>BDI_SERVIÇOS_MATERIAIS!$E$11*I414</f>
        <v>96.578667886591276</v>
      </c>
      <c r="M414" s="319"/>
      <c r="N414" s="253" t="s">
        <v>5</v>
      </c>
      <c r="O414" s="254">
        <v>88267</v>
      </c>
      <c r="P414" s="6"/>
    </row>
    <row r="415" spans="2:16" ht="16.2" thickBot="1">
      <c r="B415" s="233"/>
      <c r="C415" s="336" t="s">
        <v>158</v>
      </c>
      <c r="D415" s="281" t="s">
        <v>159</v>
      </c>
      <c r="E415" s="281">
        <f>E411*0.3</f>
        <v>11.4</v>
      </c>
      <c r="F415" s="281">
        <v>0</v>
      </c>
      <c r="G415" s="281">
        <f t="shared" si="31"/>
        <v>11.4</v>
      </c>
      <c r="H415" s="283">
        <v>22.72</v>
      </c>
      <c r="I415" s="283">
        <f>G415*H415</f>
        <v>259.00799999999998</v>
      </c>
      <c r="J415" s="283"/>
      <c r="K415" s="506"/>
      <c r="L415" s="283">
        <f>BDI_SERVIÇOS_MATERIAIS!$E$11*I415</f>
        <v>75.508167046915133</v>
      </c>
      <c r="M415" s="322"/>
      <c r="N415" s="281" t="s">
        <v>5</v>
      </c>
      <c r="O415" s="284">
        <v>88316</v>
      </c>
      <c r="P415" s="6"/>
    </row>
    <row r="416" spans="2:16" ht="31.2">
      <c r="B416" s="285" t="s">
        <v>126</v>
      </c>
      <c r="C416" s="286" t="s">
        <v>189</v>
      </c>
      <c r="D416" s="414" t="s">
        <v>8</v>
      </c>
      <c r="E416" s="414">
        <v>10</v>
      </c>
      <c r="F416" s="414"/>
      <c r="G416" s="414"/>
      <c r="H416" s="414"/>
      <c r="I416" s="288">
        <f>SUM(I417:I420)</f>
        <v>245.2</v>
      </c>
      <c r="J416" s="288">
        <f>SUM(J417:J420)</f>
        <v>1795.5000000000002</v>
      </c>
      <c r="K416" s="324">
        <f>BDI_SERVIÇOS_MATERIAIS!$E$11*J416</f>
        <v>523.43909814652886</v>
      </c>
      <c r="L416" s="270">
        <f>BDI_SERVIÇOS_MATERIAIS!$E$11*I416</f>
        <v>71.482744007534862</v>
      </c>
      <c r="M416" s="326">
        <f>SUM(I416:L416)</f>
        <v>2635.6218421540643</v>
      </c>
      <c r="N416" s="414"/>
      <c r="O416" s="415" t="s">
        <v>188</v>
      </c>
      <c r="P416" s="6"/>
    </row>
    <row r="417" spans="2:16" ht="30.6">
      <c r="B417" s="233"/>
      <c r="C417" s="335" t="s">
        <v>162</v>
      </c>
      <c r="D417" s="253" t="s">
        <v>8</v>
      </c>
      <c r="E417" s="253">
        <f>1*E416</f>
        <v>10</v>
      </c>
      <c r="F417" s="253">
        <v>0</v>
      </c>
      <c r="G417" s="253">
        <f t="shared" si="31"/>
        <v>10</v>
      </c>
      <c r="H417" s="249">
        <v>178.93</v>
      </c>
      <c r="I417" s="249"/>
      <c r="J417" s="249">
        <f>G417*H417</f>
        <v>1789.3000000000002</v>
      </c>
      <c r="K417" s="508">
        <f>BDI_SERVIÇOS_MATERIAIS!$E$11*J417</f>
        <v>521.63162256395651</v>
      </c>
      <c r="L417" s="302"/>
      <c r="M417" s="319"/>
      <c r="N417" s="253" t="s">
        <v>5</v>
      </c>
      <c r="O417" s="254">
        <v>10886</v>
      </c>
      <c r="P417" s="6"/>
    </row>
    <row r="418" spans="2:16" ht="30.6">
      <c r="B418" s="233"/>
      <c r="C418" s="335" t="s">
        <v>164</v>
      </c>
      <c r="D418" s="253" t="s">
        <v>8</v>
      </c>
      <c r="E418" s="253">
        <f>1*E416</f>
        <v>10</v>
      </c>
      <c r="F418" s="253">
        <v>0</v>
      </c>
      <c r="G418" s="253">
        <f t="shared" si="31"/>
        <v>10</v>
      </c>
      <c r="H418" s="249">
        <v>0.62</v>
      </c>
      <c r="I418" s="249"/>
      <c r="J418" s="249">
        <f>G418*H418</f>
        <v>6.2</v>
      </c>
      <c r="K418" s="508">
        <f>BDI_SERVIÇOS_MATERIAIS!$E$11*J418</f>
        <v>1.8074755825722519</v>
      </c>
      <c r="L418" s="249"/>
      <c r="M418" s="319"/>
      <c r="N418" s="253" t="s">
        <v>5</v>
      </c>
      <c r="O418" s="254">
        <v>4350</v>
      </c>
      <c r="P418" s="6"/>
    </row>
    <row r="419" spans="2:16" ht="15.6">
      <c r="B419" s="233"/>
      <c r="C419" s="335" t="s">
        <v>163</v>
      </c>
      <c r="D419" s="253" t="s">
        <v>159</v>
      </c>
      <c r="E419" s="253">
        <f>0.5*E416</f>
        <v>5</v>
      </c>
      <c r="F419" s="253">
        <v>0</v>
      </c>
      <c r="G419" s="253">
        <f t="shared" si="31"/>
        <v>5</v>
      </c>
      <c r="H419" s="509">
        <v>26.32</v>
      </c>
      <c r="I419" s="249">
        <f t="shared" ref="I419:I424" si="32">G419*H419</f>
        <v>131.6</v>
      </c>
      <c r="J419" s="249"/>
      <c r="K419" s="508"/>
      <c r="L419" s="249">
        <f>BDI_SERVIÇOS_MATERIAIS!$E$11*I419</f>
        <v>38.365126881694891</v>
      </c>
      <c r="M419" s="319"/>
      <c r="N419" s="253" t="s">
        <v>5</v>
      </c>
      <c r="O419" s="254">
        <v>88309</v>
      </c>
      <c r="P419" s="6"/>
    </row>
    <row r="420" spans="2:16" ht="16.2" thickBot="1">
      <c r="B420" s="233"/>
      <c r="C420" s="510" t="s">
        <v>158</v>
      </c>
      <c r="D420" s="281" t="s">
        <v>159</v>
      </c>
      <c r="E420" s="281">
        <f>0.5*E416</f>
        <v>5</v>
      </c>
      <c r="F420" s="281">
        <v>0</v>
      </c>
      <c r="G420" s="281">
        <f t="shared" si="31"/>
        <v>5</v>
      </c>
      <c r="H420" s="283">
        <v>22.72</v>
      </c>
      <c r="I420" s="283">
        <f t="shared" si="32"/>
        <v>113.6</v>
      </c>
      <c r="J420" s="283"/>
      <c r="K420" s="508"/>
      <c r="L420" s="283">
        <f>BDI_SERVIÇOS_MATERIAIS!$E$11*I420</f>
        <v>33.117617125839971</v>
      </c>
      <c r="M420" s="322"/>
      <c r="N420" s="281" t="s">
        <v>5</v>
      </c>
      <c r="O420" s="284">
        <v>88316</v>
      </c>
      <c r="P420" s="6"/>
    </row>
    <row r="421" spans="2:16" ht="15.6">
      <c r="B421" s="285" t="s">
        <v>127</v>
      </c>
      <c r="C421" s="511" t="s">
        <v>187</v>
      </c>
      <c r="D421" s="512" t="s">
        <v>8</v>
      </c>
      <c r="E421" s="414">
        <v>5</v>
      </c>
      <c r="F421" s="414"/>
      <c r="G421" s="414"/>
      <c r="H421" s="414"/>
      <c r="I421" s="288">
        <f>SUM(I424:I425)</f>
        <v>77.669999999999987</v>
      </c>
      <c r="J421" s="288">
        <f>SUM(J422:J423)</f>
        <v>3.1</v>
      </c>
      <c r="K421" s="324">
        <f>BDI_SERVIÇOS_MATERIAIS!$E$11*J421</f>
        <v>0.90373779128612597</v>
      </c>
      <c r="L421" s="270">
        <f>BDI_SERVIÇOS_MATERIAIS!$E$11*I421</f>
        <v>22.643004596513997</v>
      </c>
      <c r="M421" s="326">
        <f>SUM(I421:L421)</f>
        <v>104.3167423878001</v>
      </c>
      <c r="N421" s="244" t="s">
        <v>5</v>
      </c>
      <c r="O421" s="415">
        <v>72554</v>
      </c>
      <c r="P421" s="6"/>
    </row>
    <row r="422" spans="2:16" ht="30.6">
      <c r="B422" s="233"/>
      <c r="C422" s="513" t="s">
        <v>155</v>
      </c>
      <c r="D422" s="347" t="s">
        <v>8</v>
      </c>
      <c r="E422" s="253">
        <f>E421*1</f>
        <v>5</v>
      </c>
      <c r="F422" s="253">
        <v>0</v>
      </c>
      <c r="G422" s="253">
        <f t="shared" si="31"/>
        <v>5</v>
      </c>
      <c r="H422" s="249">
        <v>0.62</v>
      </c>
      <c r="I422" s="249"/>
      <c r="J422" s="249">
        <f>G422*H422</f>
        <v>3.1</v>
      </c>
      <c r="K422" s="508">
        <f>BDI_SERVIÇOS_MATERIAIS!$E$11*J422</f>
        <v>0.90373779128612597</v>
      </c>
      <c r="L422" s="249"/>
      <c r="M422" s="319"/>
      <c r="N422" s="253" t="s">
        <v>5</v>
      </c>
      <c r="O422" s="254">
        <v>4350</v>
      </c>
      <c r="P422" s="6"/>
    </row>
    <row r="423" spans="2:16" ht="30.6">
      <c r="B423" s="233"/>
      <c r="C423" s="513" t="s">
        <v>165</v>
      </c>
      <c r="D423" s="347" t="s">
        <v>8</v>
      </c>
      <c r="E423" s="253">
        <f>E421*1</f>
        <v>5</v>
      </c>
      <c r="F423" s="253">
        <v>5</v>
      </c>
      <c r="G423" s="253">
        <f t="shared" si="31"/>
        <v>0</v>
      </c>
      <c r="H423" s="249">
        <v>613.5</v>
      </c>
      <c r="I423" s="249"/>
      <c r="J423" s="249">
        <f>G423*H423</f>
        <v>0</v>
      </c>
      <c r="K423" s="508">
        <f>BDI_SERVIÇOS_MATERIAIS!$E$11*J423</f>
        <v>0</v>
      </c>
      <c r="L423" s="249">
        <f>BDI_SERVIÇOS_MATERIAIS!$E$11*I423</f>
        <v>0</v>
      </c>
      <c r="M423" s="319"/>
      <c r="N423" s="253" t="s">
        <v>5</v>
      </c>
      <c r="O423" s="254">
        <v>10889</v>
      </c>
      <c r="P423" s="6"/>
    </row>
    <row r="424" spans="2:16" ht="15.6">
      <c r="B424" s="233"/>
      <c r="C424" s="513" t="s">
        <v>157</v>
      </c>
      <c r="D424" s="347" t="s">
        <v>159</v>
      </c>
      <c r="E424" s="253">
        <f>0.3*E421</f>
        <v>1.5</v>
      </c>
      <c r="F424" s="253">
        <v>0</v>
      </c>
      <c r="G424" s="253">
        <f t="shared" si="31"/>
        <v>1.5</v>
      </c>
      <c r="H424" s="507">
        <v>29.06</v>
      </c>
      <c r="I424" s="249">
        <f t="shared" si="32"/>
        <v>43.589999999999996</v>
      </c>
      <c r="J424" s="249"/>
      <c r="K424" s="508"/>
      <c r="L424" s="249">
        <f>BDI_SERVIÇOS_MATERIAIS!$E$11*I424</f>
        <v>12.707719458762009</v>
      </c>
      <c r="M424" s="319"/>
      <c r="N424" s="253" t="s">
        <v>5</v>
      </c>
      <c r="O424" s="254">
        <v>88267</v>
      </c>
      <c r="P424" s="6"/>
    </row>
    <row r="425" spans="2:16" ht="16.2" thickBot="1">
      <c r="B425" s="289"/>
      <c r="C425" s="514" t="s">
        <v>158</v>
      </c>
      <c r="D425" s="348" t="s">
        <v>159</v>
      </c>
      <c r="E425" s="281">
        <f>0.3*E421</f>
        <v>1.5</v>
      </c>
      <c r="F425" s="281">
        <v>0</v>
      </c>
      <c r="G425" s="281">
        <f t="shared" si="31"/>
        <v>1.5</v>
      </c>
      <c r="H425" s="283">
        <v>22.72</v>
      </c>
      <c r="I425" s="283">
        <f>G425*H425</f>
        <v>34.08</v>
      </c>
      <c r="J425" s="283"/>
      <c r="K425" s="508"/>
      <c r="L425" s="283">
        <f>BDI_SERVIÇOS_MATERIAIS!$E$11*I425</f>
        <v>9.9352851377519897</v>
      </c>
      <c r="M425" s="322"/>
      <c r="N425" s="281" t="s">
        <v>5</v>
      </c>
      <c r="O425" s="284">
        <v>88316</v>
      </c>
      <c r="P425" s="6"/>
    </row>
    <row r="426" spans="2:16" ht="16.2" thickBot="1">
      <c r="B426" s="378" t="s">
        <v>128</v>
      </c>
      <c r="C426" s="515" t="s">
        <v>40</v>
      </c>
      <c r="D426" s="379" t="s">
        <v>8</v>
      </c>
      <c r="E426" s="379">
        <v>1</v>
      </c>
      <c r="F426" s="379">
        <v>0</v>
      </c>
      <c r="G426" s="379">
        <f>E426-F426</f>
        <v>1</v>
      </c>
      <c r="H426" s="440">
        <v>1900</v>
      </c>
      <c r="I426" s="440"/>
      <c r="J426" s="381">
        <f>H426*G426</f>
        <v>1900</v>
      </c>
      <c r="K426" s="324">
        <f>BDI_SERVIÇOS_MATERIAIS!$E$11*J426</f>
        <v>553.90380756246429</v>
      </c>
      <c r="L426" s="516">
        <f>BDI_SERVIÇOS_MATERIAIS!$E$11*I426</f>
        <v>0</v>
      </c>
      <c r="M426" s="383">
        <f>SUM(I426:L426)</f>
        <v>2453.9038075624644</v>
      </c>
      <c r="N426" s="379" t="s">
        <v>12</v>
      </c>
      <c r="O426" s="631">
        <v>44774</v>
      </c>
      <c r="P426" s="6"/>
    </row>
    <row r="427" spans="2:16" ht="15.6">
      <c r="B427" s="227" t="s">
        <v>129</v>
      </c>
      <c r="C427" s="438" t="s">
        <v>462</v>
      </c>
      <c r="D427" s="244"/>
      <c r="E427" s="244"/>
      <c r="F427" s="244"/>
      <c r="G427" s="244"/>
      <c r="H427" s="244"/>
      <c r="I427" s="301">
        <f>SUM(I428:I429)</f>
        <v>161.6</v>
      </c>
      <c r="J427" s="301">
        <f>SUM(J428:J429)</f>
        <v>48</v>
      </c>
      <c r="K427" s="324">
        <f>BDI_SERVIÇOS_MATERIAIS!$E$11*J427</f>
        <v>13.993359348946466</v>
      </c>
      <c r="L427" s="270">
        <f>BDI_SERVIÇOS_MATERIAIS!$E$11*I427</f>
        <v>47.110976474786433</v>
      </c>
      <c r="M427" s="326">
        <f>SUM(I427:L427)</f>
        <v>270.70433582373289</v>
      </c>
      <c r="N427" s="244"/>
      <c r="O427" s="245"/>
      <c r="P427" s="6"/>
    </row>
    <row r="428" spans="2:16" ht="15.6">
      <c r="B428" s="228"/>
      <c r="C428" s="273" t="s">
        <v>167</v>
      </c>
      <c r="D428" s="253" t="s">
        <v>8</v>
      </c>
      <c r="E428" s="253">
        <v>53</v>
      </c>
      <c r="F428" s="253">
        <v>43</v>
      </c>
      <c r="G428" s="253">
        <f>E428-F428</f>
        <v>10</v>
      </c>
      <c r="H428" s="274">
        <v>4.8</v>
      </c>
      <c r="I428" s="274">
        <f>H428*G428</f>
        <v>48</v>
      </c>
      <c r="J428" s="274">
        <f>G428*H428</f>
        <v>48</v>
      </c>
      <c r="K428" s="508">
        <f>BDI_SERVIÇOS_MATERIAIS!$E$11*J428</f>
        <v>13.993359348946466</v>
      </c>
      <c r="L428" s="249">
        <f>BDI_SERVIÇOS_MATERIAIS!$E$11*I428</f>
        <v>13.993359348946466</v>
      </c>
      <c r="M428" s="319"/>
      <c r="N428" s="253" t="s">
        <v>12</v>
      </c>
      <c r="O428" s="623">
        <v>44774</v>
      </c>
      <c r="P428" s="6"/>
    </row>
    <row r="429" spans="2:16" ht="16.2" thickBot="1">
      <c r="B429" s="229"/>
      <c r="C429" s="336" t="s">
        <v>158</v>
      </c>
      <c r="D429" s="281" t="s">
        <v>159</v>
      </c>
      <c r="E429" s="281">
        <v>5</v>
      </c>
      <c r="F429" s="281">
        <v>0</v>
      </c>
      <c r="G429" s="281">
        <f>E429-F429</f>
        <v>5</v>
      </c>
      <c r="H429" s="283">
        <v>22.72</v>
      </c>
      <c r="I429" s="295">
        <f>H429*G429</f>
        <v>113.6</v>
      </c>
      <c r="J429" s="295"/>
      <c r="K429" s="508"/>
      <c r="L429" s="283">
        <f>BDI_SERVIÇOS_MATERIAIS!$E$11*I429</f>
        <v>33.117617125839971</v>
      </c>
      <c r="M429" s="322"/>
      <c r="N429" s="281" t="s">
        <v>5</v>
      </c>
      <c r="O429" s="284">
        <v>88316</v>
      </c>
      <c r="P429" s="6"/>
    </row>
    <row r="430" spans="2:16" ht="16.2" thickBot="1">
      <c r="B430" s="378" t="s">
        <v>149</v>
      </c>
      <c r="C430" s="517" t="s">
        <v>151</v>
      </c>
      <c r="D430" s="518" t="s">
        <v>8</v>
      </c>
      <c r="E430" s="518">
        <v>38</v>
      </c>
      <c r="F430" s="518">
        <v>0</v>
      </c>
      <c r="G430" s="518">
        <f>E430-F430</f>
        <v>38</v>
      </c>
      <c r="H430" s="382">
        <v>35</v>
      </c>
      <c r="I430" s="518"/>
      <c r="J430" s="516">
        <f>G430*H430</f>
        <v>1330</v>
      </c>
      <c r="K430" s="324">
        <f>BDI_SERVIÇOS_MATERIAIS!$E$11*J430</f>
        <v>387.73266529372501</v>
      </c>
      <c r="L430" s="519">
        <f>BDI_SERVIÇOS_MATERIAIS!$E$11*I430</f>
        <v>0</v>
      </c>
      <c r="M430" s="520">
        <f>SUM(I430:L430)</f>
        <v>1717.7326652937249</v>
      </c>
      <c r="N430" s="518" t="s">
        <v>12</v>
      </c>
      <c r="O430" s="633">
        <v>44774</v>
      </c>
      <c r="P430" s="6"/>
    </row>
    <row r="431" spans="2:16" ht="16.2" thickBot="1">
      <c r="B431" s="378" t="s">
        <v>150</v>
      </c>
      <c r="C431" s="515" t="s">
        <v>152</v>
      </c>
      <c r="D431" s="379" t="s">
        <v>8</v>
      </c>
      <c r="E431" s="379">
        <v>5</v>
      </c>
      <c r="F431" s="379">
        <v>0</v>
      </c>
      <c r="G431" s="379">
        <f>E431-F431</f>
        <v>5</v>
      </c>
      <c r="H431" s="440">
        <v>89</v>
      </c>
      <c r="I431" s="379"/>
      <c r="J431" s="452">
        <f>G431*H431</f>
        <v>445</v>
      </c>
      <c r="K431" s="324">
        <f>BDI_SERVIÇOS_MATERIAIS!$E$11*J431</f>
        <v>129.73010229752452</v>
      </c>
      <c r="L431" s="519">
        <f>BDI_SERVIÇOS_MATERIAIS!$E$11*I431</f>
        <v>0</v>
      </c>
      <c r="M431" s="383">
        <f>SUM(I431:L431)</f>
        <v>574.73010229752458</v>
      </c>
      <c r="N431" s="379" t="s">
        <v>12</v>
      </c>
      <c r="O431" s="631">
        <v>44774</v>
      </c>
      <c r="P431" s="6"/>
    </row>
    <row r="432" spans="2:16" ht="21">
      <c r="B432" s="654" t="s">
        <v>166</v>
      </c>
      <c r="C432" s="655"/>
      <c r="D432" s="655"/>
      <c r="E432" s="655"/>
      <c r="F432" s="655"/>
      <c r="G432" s="655"/>
      <c r="H432" s="656"/>
      <c r="I432" s="301">
        <f>I411+I416+I421+I427</f>
        <v>1074.7619999999999</v>
      </c>
      <c r="J432" s="301">
        <f>J411+J416+J421+J427+J430+J426+J431</f>
        <v>5545.16</v>
      </c>
      <c r="K432" s="502">
        <f>K411+K416+K421+K427+K426+K430+K431</f>
        <v>1616.5711776542498</v>
      </c>
      <c r="L432" s="299">
        <f>L411+L416+L421+L427</f>
        <v>313.32356001234166</v>
      </c>
      <c r="M432" s="430">
        <f>SUM(M411:M431)</f>
        <v>8549.8167376665915</v>
      </c>
      <c r="N432" s="427"/>
      <c r="O432" s="431"/>
      <c r="P432" s="9"/>
    </row>
    <row r="433" spans="2:16" ht="16.2" thickBot="1">
      <c r="B433" s="521">
        <v>7</v>
      </c>
      <c r="C433" s="492" t="s">
        <v>382</v>
      </c>
      <c r="D433" s="493"/>
      <c r="E433" s="493"/>
      <c r="F433" s="493"/>
      <c r="G433" s="493"/>
      <c r="H433" s="493"/>
      <c r="I433" s="493"/>
      <c r="J433" s="493"/>
      <c r="K433" s="494"/>
      <c r="L433" s="495"/>
      <c r="M433" s="435"/>
      <c r="N433" s="497"/>
      <c r="O433" s="497"/>
      <c r="P433" s="5"/>
    </row>
    <row r="434" spans="2:16" ht="15.6">
      <c r="B434" s="522" t="s">
        <v>130</v>
      </c>
      <c r="C434" s="523" t="s">
        <v>41</v>
      </c>
      <c r="D434" s="347" t="s">
        <v>8</v>
      </c>
      <c r="E434" s="411"/>
      <c r="F434" s="411"/>
      <c r="G434" s="411"/>
      <c r="H434" s="411"/>
      <c r="I434" s="338">
        <f>SUM(I435:I436)</f>
        <v>45.44</v>
      </c>
      <c r="J434" s="338">
        <f>SUM(J435:J436)</f>
        <v>336.83</v>
      </c>
      <c r="K434" s="524">
        <f>BDI_SERVIÇOS_MATERIAIS!$E$11*J434</f>
        <v>98.195483948034124</v>
      </c>
      <c r="L434" s="359">
        <f>BDI_SERVIÇOS_MATERIAIS!$E$11*I434</f>
        <v>13.247046850335988</v>
      </c>
      <c r="M434" s="350">
        <f>SUM(I434:L434)</f>
        <v>493.7125307983701</v>
      </c>
      <c r="N434" s="414"/>
      <c r="O434" s="415"/>
      <c r="P434" s="5"/>
    </row>
    <row r="435" spans="2:16" ht="15.6">
      <c r="B435" s="525"/>
      <c r="C435" s="246" t="s">
        <v>41</v>
      </c>
      <c r="D435" s="347" t="s">
        <v>8</v>
      </c>
      <c r="E435" s="253">
        <v>13</v>
      </c>
      <c r="F435" s="253">
        <v>0</v>
      </c>
      <c r="G435" s="253">
        <f>E435-F435</f>
        <v>13</v>
      </c>
      <c r="H435" s="249">
        <v>25.91</v>
      </c>
      <c r="I435" s="249"/>
      <c r="J435" s="249">
        <f t="shared" ref="J435:J441" si="33">E435*H435</f>
        <v>336.83</v>
      </c>
      <c r="K435" s="375">
        <f>BDI_SERVIÇOS_MATERIAIS!$E$11*J435</f>
        <v>98.195483948034124</v>
      </c>
      <c r="L435" s="359"/>
      <c r="M435" s="526"/>
      <c r="N435" s="253" t="s">
        <v>5</v>
      </c>
      <c r="O435" s="254">
        <v>37556</v>
      </c>
      <c r="P435" s="6"/>
    </row>
    <row r="436" spans="2:16" ht="16.2" thickBot="1">
      <c r="B436" s="527"/>
      <c r="C436" s="528" t="s">
        <v>158</v>
      </c>
      <c r="D436" s="281" t="s">
        <v>159</v>
      </c>
      <c r="E436" s="281">
        <v>2</v>
      </c>
      <c r="F436" s="281">
        <v>0</v>
      </c>
      <c r="G436" s="281">
        <f t="shared" ref="G436:G462" si="34">E436-F436</f>
        <v>2</v>
      </c>
      <c r="H436" s="283">
        <v>22.72</v>
      </c>
      <c r="I436" s="283">
        <f>H436*G436</f>
        <v>45.44</v>
      </c>
      <c r="J436" s="283"/>
      <c r="K436" s="321"/>
      <c r="L436" s="529">
        <f>BDI_SERVIÇOS_MATERIAIS!$E$11*I436</f>
        <v>13.247046850335988</v>
      </c>
      <c r="M436" s="530"/>
      <c r="N436" s="281" t="s">
        <v>5</v>
      </c>
      <c r="O436" s="284">
        <v>88316</v>
      </c>
      <c r="P436" s="6"/>
    </row>
    <row r="437" spans="2:16" ht="15.6">
      <c r="B437" s="531" t="s">
        <v>131</v>
      </c>
      <c r="C437" s="532" t="s">
        <v>42</v>
      </c>
      <c r="D437" s="347" t="s">
        <v>8</v>
      </c>
      <c r="E437" s="269"/>
      <c r="F437" s="269"/>
      <c r="G437" s="269"/>
      <c r="H437" s="349"/>
      <c r="I437" s="270">
        <f>SUM(I438:I439)</f>
        <v>45.44</v>
      </c>
      <c r="J437" s="270">
        <f>SUM(J438:J439)</f>
        <v>336.83</v>
      </c>
      <c r="K437" s="334">
        <f>BDI_SERVIÇOS_MATERIAIS!$E$11*J437</f>
        <v>98.195483948034124</v>
      </c>
      <c r="L437" s="314">
        <f>BDI_SERVIÇOS_MATERIAIS!$E$11*I437</f>
        <v>13.247046850335988</v>
      </c>
      <c r="M437" s="350">
        <f>SUM(I437:L437)</f>
        <v>493.7125307983701</v>
      </c>
      <c r="N437" s="269"/>
      <c r="O437" s="272"/>
      <c r="P437" s="6"/>
    </row>
    <row r="438" spans="2:16" ht="15.6">
      <c r="B438" s="525"/>
      <c r="C438" s="246" t="s">
        <v>42</v>
      </c>
      <c r="D438" s="347" t="s">
        <v>8</v>
      </c>
      <c r="E438" s="253">
        <v>13</v>
      </c>
      <c r="F438" s="253">
        <v>0</v>
      </c>
      <c r="G438" s="253">
        <f t="shared" si="34"/>
        <v>13</v>
      </c>
      <c r="H438" s="249">
        <v>25.91</v>
      </c>
      <c r="I438" s="249"/>
      <c r="J438" s="249">
        <f t="shared" si="33"/>
        <v>336.83</v>
      </c>
      <c r="K438" s="375">
        <f>BDI_SERVIÇOS_MATERIAIS!$E$11*J438</f>
        <v>98.195483948034124</v>
      </c>
      <c r="L438" s="359"/>
      <c r="M438" s="533"/>
      <c r="N438" s="253" t="s">
        <v>5</v>
      </c>
      <c r="O438" s="254">
        <v>37556</v>
      </c>
      <c r="P438" s="6"/>
    </row>
    <row r="439" spans="2:16" ht="16.2" thickBot="1">
      <c r="B439" s="534"/>
      <c r="C439" s="535" t="s">
        <v>158</v>
      </c>
      <c r="D439" s="281" t="s">
        <v>159</v>
      </c>
      <c r="E439" s="261">
        <v>2</v>
      </c>
      <c r="F439" s="261">
        <v>0</v>
      </c>
      <c r="G439" s="261">
        <f t="shared" si="34"/>
        <v>2</v>
      </c>
      <c r="H439" s="283">
        <v>22.72</v>
      </c>
      <c r="I439" s="355">
        <f t="shared" ref="I439:I463" si="35">H439*G439</f>
        <v>45.44</v>
      </c>
      <c r="J439" s="355"/>
      <c r="K439" s="321"/>
      <c r="L439" s="529">
        <f>BDI_SERVIÇOS_MATERIAIS!$E$11*I439</f>
        <v>13.247046850335988</v>
      </c>
      <c r="M439" s="536"/>
      <c r="N439" s="261" t="s">
        <v>5</v>
      </c>
      <c r="O439" s="364">
        <v>88316</v>
      </c>
      <c r="P439" s="6"/>
    </row>
    <row r="440" spans="2:16" ht="15.6">
      <c r="B440" s="522" t="s">
        <v>132</v>
      </c>
      <c r="C440" s="523" t="s">
        <v>43</v>
      </c>
      <c r="D440" s="347" t="s">
        <v>8</v>
      </c>
      <c r="E440" s="244"/>
      <c r="F440" s="244"/>
      <c r="G440" s="244"/>
      <c r="H440" s="287"/>
      <c r="I440" s="288">
        <f>SUM(I441:I442)</f>
        <v>45.44</v>
      </c>
      <c r="J440" s="288">
        <f>SUM(J441:J442)</f>
        <v>89.7</v>
      </c>
      <c r="K440" s="334">
        <f>BDI_SERVIÇOS_MATERIAIS!$E$11*J440</f>
        <v>26.150090283343708</v>
      </c>
      <c r="L440" s="314">
        <f>BDI_SERVIÇOS_MATERIAIS!$E$11*I440</f>
        <v>13.247046850335988</v>
      </c>
      <c r="M440" s="346">
        <f>SUM(I440:L440)</f>
        <v>174.53713713367966</v>
      </c>
      <c r="N440" s="244"/>
      <c r="O440" s="245"/>
      <c r="P440" s="6"/>
    </row>
    <row r="441" spans="2:16" ht="15.6">
      <c r="B441" s="525"/>
      <c r="C441" s="246" t="s">
        <v>43</v>
      </c>
      <c r="D441" s="347" t="s">
        <v>8</v>
      </c>
      <c r="E441" s="253">
        <v>13</v>
      </c>
      <c r="F441" s="253">
        <v>0</v>
      </c>
      <c r="G441" s="253">
        <f t="shared" si="34"/>
        <v>13</v>
      </c>
      <c r="H441" s="249">
        <v>6.9</v>
      </c>
      <c r="I441" s="249"/>
      <c r="J441" s="249">
        <f t="shared" si="33"/>
        <v>89.7</v>
      </c>
      <c r="K441" s="375">
        <f>BDI_SERVIÇOS_MATERIAIS!$E$11*J441</f>
        <v>26.150090283343708</v>
      </c>
      <c r="L441" s="359"/>
      <c r="M441" s="526"/>
      <c r="N441" s="253" t="s">
        <v>12</v>
      </c>
      <c r="O441" s="623">
        <v>44774</v>
      </c>
      <c r="P441" s="6"/>
    </row>
    <row r="442" spans="2:16" ht="16.2" thickBot="1">
      <c r="B442" s="527"/>
      <c r="C442" s="528" t="s">
        <v>158</v>
      </c>
      <c r="D442" s="281" t="s">
        <v>159</v>
      </c>
      <c r="E442" s="281">
        <v>2</v>
      </c>
      <c r="F442" s="281">
        <v>0</v>
      </c>
      <c r="G442" s="281">
        <f t="shared" si="34"/>
        <v>2</v>
      </c>
      <c r="H442" s="283">
        <v>22.72</v>
      </c>
      <c r="I442" s="283">
        <f t="shared" si="35"/>
        <v>45.44</v>
      </c>
      <c r="J442" s="283"/>
      <c r="K442" s="321"/>
      <c r="L442" s="529">
        <f>BDI_SERVIÇOS_MATERIAIS!$E$11*I442</f>
        <v>13.247046850335988</v>
      </c>
      <c r="M442" s="530"/>
      <c r="N442" s="281" t="s">
        <v>5</v>
      </c>
      <c r="O442" s="284">
        <v>88316</v>
      </c>
      <c r="P442" s="6"/>
    </row>
    <row r="443" spans="2:16" ht="15.6">
      <c r="B443" s="522" t="s">
        <v>133</v>
      </c>
      <c r="C443" s="537" t="s">
        <v>44</v>
      </c>
      <c r="D443" s="347" t="s">
        <v>8</v>
      </c>
      <c r="E443" s="244"/>
      <c r="F443" s="244"/>
      <c r="G443" s="244"/>
      <c r="H443" s="287"/>
      <c r="I443" s="288">
        <f>SUM(I444:I445)</f>
        <v>68.16</v>
      </c>
      <c r="J443" s="288">
        <f>SUM(J444:J445)</f>
        <v>237.5</v>
      </c>
      <c r="K443" s="324">
        <f>BDI_SERVIÇOS_MATERIAIS!$E$11*J443</f>
        <v>69.237975945308037</v>
      </c>
      <c r="L443" s="338">
        <f>BDI_SERVIÇOS_MATERIAIS!$E$11*I443</f>
        <v>19.870570275503979</v>
      </c>
      <c r="M443" s="346">
        <f>SUM(I443:L443)</f>
        <v>394.76854622081203</v>
      </c>
      <c r="N443" s="244"/>
      <c r="O443" s="245"/>
      <c r="P443" s="6"/>
    </row>
    <row r="444" spans="2:16" ht="15.6">
      <c r="B444" s="525"/>
      <c r="C444" s="538" t="s">
        <v>44</v>
      </c>
      <c r="D444" s="347" t="s">
        <v>8</v>
      </c>
      <c r="E444" s="253">
        <v>19</v>
      </c>
      <c r="F444" s="253">
        <v>0</v>
      </c>
      <c r="G444" s="253">
        <f t="shared" si="34"/>
        <v>19</v>
      </c>
      <c r="H444" s="249">
        <v>12.5</v>
      </c>
      <c r="I444" s="249"/>
      <c r="J444" s="249">
        <f>H444*G444</f>
        <v>237.5</v>
      </c>
      <c r="K444" s="375">
        <f>BDI_SERVIÇOS_MATERIAIS!$E$11*J444</f>
        <v>69.237975945308037</v>
      </c>
      <c r="L444" s="359"/>
      <c r="M444" s="526"/>
      <c r="N444" s="253" t="s">
        <v>12</v>
      </c>
      <c r="O444" s="623">
        <v>44774</v>
      </c>
      <c r="P444" s="6"/>
    </row>
    <row r="445" spans="2:16" ht="16.2" thickBot="1">
      <c r="B445" s="527"/>
      <c r="C445" s="528" t="s">
        <v>158</v>
      </c>
      <c r="D445" s="281" t="s">
        <v>159</v>
      </c>
      <c r="E445" s="281">
        <v>3</v>
      </c>
      <c r="F445" s="281">
        <v>0</v>
      </c>
      <c r="G445" s="281">
        <f t="shared" si="34"/>
        <v>3</v>
      </c>
      <c r="H445" s="283">
        <v>22.72</v>
      </c>
      <c r="I445" s="283">
        <f t="shared" si="35"/>
        <v>68.16</v>
      </c>
      <c r="J445" s="283"/>
      <c r="K445" s="441"/>
      <c r="L445" s="529">
        <f>BDI_SERVIÇOS_MATERIAIS!$E$11*I445</f>
        <v>19.870570275503979</v>
      </c>
      <c r="M445" s="530"/>
      <c r="N445" s="281" t="s">
        <v>5</v>
      </c>
      <c r="O445" s="284">
        <v>88316</v>
      </c>
      <c r="P445" s="6"/>
    </row>
    <row r="446" spans="2:16" ht="15.6">
      <c r="B446" s="522" t="s">
        <v>134</v>
      </c>
      <c r="C446" s="523" t="s">
        <v>45</v>
      </c>
      <c r="D446" s="347" t="s">
        <v>8</v>
      </c>
      <c r="E446" s="244"/>
      <c r="F446" s="244"/>
      <c r="G446" s="244"/>
      <c r="H446" s="287"/>
      <c r="I446" s="288">
        <f>SUM(I447:I448)</f>
        <v>113.6</v>
      </c>
      <c r="J446" s="288">
        <f>SUM(J447:J448)</f>
        <v>1373.23</v>
      </c>
      <c r="K446" s="329">
        <f>BDI_SERVIÇOS_MATERIAIS!$E$11*J446</f>
        <v>400.33543455736992</v>
      </c>
      <c r="L446" s="338">
        <f>BDI_SERVIÇOS_MATERIAIS!$E$11*I446</f>
        <v>33.117617125839971</v>
      </c>
      <c r="M446" s="346">
        <f>SUM(I446:L446)</f>
        <v>1920.2830516832098</v>
      </c>
      <c r="N446" s="244"/>
      <c r="O446" s="245"/>
      <c r="P446" s="6"/>
    </row>
    <row r="447" spans="2:16" ht="15.6">
      <c r="B447" s="525"/>
      <c r="C447" s="246" t="s">
        <v>45</v>
      </c>
      <c r="D447" s="347" t="s">
        <v>8</v>
      </c>
      <c r="E447" s="253">
        <v>53</v>
      </c>
      <c r="F447" s="253">
        <v>0</v>
      </c>
      <c r="G447" s="253">
        <f t="shared" si="34"/>
        <v>53</v>
      </c>
      <c r="H447" s="249">
        <v>25.91</v>
      </c>
      <c r="I447" s="249"/>
      <c r="J447" s="249">
        <f t="shared" ref="J447:J462" si="36">G447*H447</f>
        <v>1373.23</v>
      </c>
      <c r="K447" s="375">
        <f>BDI_SERVIÇOS_MATERIAIS!$E$11*J447</f>
        <v>400.33543455736992</v>
      </c>
      <c r="L447" s="359"/>
      <c r="M447" s="526"/>
      <c r="N447" s="253" t="s">
        <v>5</v>
      </c>
      <c r="O447" s="254">
        <v>37556</v>
      </c>
      <c r="P447" s="6"/>
    </row>
    <row r="448" spans="2:16" ht="16.2" thickBot="1">
      <c r="B448" s="527"/>
      <c r="C448" s="528" t="s">
        <v>158</v>
      </c>
      <c r="D448" s="281" t="s">
        <v>159</v>
      </c>
      <c r="E448" s="281">
        <v>5</v>
      </c>
      <c r="F448" s="281">
        <v>0</v>
      </c>
      <c r="G448" s="281">
        <f t="shared" si="34"/>
        <v>5</v>
      </c>
      <c r="H448" s="283">
        <v>22.72</v>
      </c>
      <c r="I448" s="283">
        <f t="shared" si="35"/>
        <v>113.6</v>
      </c>
      <c r="J448" s="283"/>
      <c r="K448" s="321"/>
      <c r="L448" s="529">
        <f>BDI_SERVIÇOS_MATERIAIS!$E$11*I448</f>
        <v>33.117617125839971</v>
      </c>
      <c r="M448" s="530"/>
      <c r="N448" s="281" t="s">
        <v>5</v>
      </c>
      <c r="O448" s="284">
        <v>88316</v>
      </c>
      <c r="P448" s="6"/>
    </row>
    <row r="449" spans="2:16" ht="15.6">
      <c r="B449" s="539" t="s">
        <v>135</v>
      </c>
      <c r="C449" s="532" t="s">
        <v>46</v>
      </c>
      <c r="D449" s="347" t="s">
        <v>8</v>
      </c>
      <c r="E449" s="269"/>
      <c r="F449" s="269"/>
      <c r="G449" s="269"/>
      <c r="H449" s="349"/>
      <c r="I449" s="270">
        <f>SUM(I450:I451)</f>
        <v>22.72</v>
      </c>
      <c r="J449" s="270">
        <f>SUM(J450:J451)</f>
        <v>250</v>
      </c>
      <c r="K449" s="334">
        <f>BDI_SERVIÇOS_MATERIAIS!$E$11*J449</f>
        <v>72.882079942429513</v>
      </c>
      <c r="L449" s="314">
        <f>BDI_SERVIÇOS_MATERIAIS!$E$11*I449</f>
        <v>6.6235234251679938</v>
      </c>
      <c r="M449" s="350">
        <f>SUM(I449:L449)</f>
        <v>352.22560336759756</v>
      </c>
      <c r="N449" s="269"/>
      <c r="O449" s="272"/>
      <c r="P449" s="6"/>
    </row>
    <row r="450" spans="2:16" ht="15.6">
      <c r="B450" s="540"/>
      <c r="C450" s="246" t="s">
        <v>46</v>
      </c>
      <c r="D450" s="347" t="s">
        <v>8</v>
      </c>
      <c r="E450" s="253">
        <v>20</v>
      </c>
      <c r="F450" s="253">
        <v>0</v>
      </c>
      <c r="G450" s="253">
        <f t="shared" si="34"/>
        <v>20</v>
      </c>
      <c r="H450" s="249">
        <v>12.5</v>
      </c>
      <c r="I450" s="249"/>
      <c r="J450" s="249">
        <f t="shared" si="36"/>
        <v>250</v>
      </c>
      <c r="K450" s="375">
        <f>BDI_SERVIÇOS_MATERIAIS!$E$11*J450</f>
        <v>72.882079942429513</v>
      </c>
      <c r="L450" s="359">
        <f>BDI_SERVIÇOS_MATERIAIS!$E$11*I450</f>
        <v>0</v>
      </c>
      <c r="M450" s="526"/>
      <c r="N450" s="253" t="s">
        <v>12</v>
      </c>
      <c r="O450" s="623">
        <v>44774</v>
      </c>
      <c r="P450" s="6"/>
    </row>
    <row r="451" spans="2:16" ht="16.2" thickBot="1">
      <c r="B451" s="541"/>
      <c r="C451" s="535" t="s">
        <v>158</v>
      </c>
      <c r="D451" s="281" t="s">
        <v>159</v>
      </c>
      <c r="E451" s="261">
        <v>1</v>
      </c>
      <c r="F451" s="261">
        <v>0</v>
      </c>
      <c r="G451" s="261">
        <f t="shared" si="34"/>
        <v>1</v>
      </c>
      <c r="H451" s="283">
        <v>22.72</v>
      </c>
      <c r="I451" s="355">
        <f t="shared" si="35"/>
        <v>22.72</v>
      </c>
      <c r="J451" s="355"/>
      <c r="K451" s="321"/>
      <c r="L451" s="529">
        <f>BDI_SERVIÇOS_MATERIAIS!$E$11*I451</f>
        <v>6.6235234251679938</v>
      </c>
      <c r="M451" s="536"/>
      <c r="N451" s="261" t="s">
        <v>5</v>
      </c>
      <c r="O451" s="364">
        <v>88316</v>
      </c>
      <c r="P451" s="6"/>
    </row>
    <row r="452" spans="2:16" ht="15.6">
      <c r="B452" s="542" t="s">
        <v>136</v>
      </c>
      <c r="C452" s="523" t="s">
        <v>47</v>
      </c>
      <c r="D452" s="347" t="s">
        <v>8</v>
      </c>
      <c r="E452" s="244"/>
      <c r="F452" s="244"/>
      <c r="G452" s="244"/>
      <c r="H452" s="288"/>
      <c r="I452" s="288">
        <f>SUM(I453:I454)</f>
        <v>22.72</v>
      </c>
      <c r="J452" s="288">
        <f>SUM(J453:J454)</f>
        <v>1512.5</v>
      </c>
      <c r="K452" s="334">
        <f>BDI_SERVIÇOS_MATERIAIS!$E$11*J452</f>
        <v>440.93658365169853</v>
      </c>
      <c r="L452" s="314">
        <f>BDI_SERVIÇOS_MATERIAIS!$E$11*I452</f>
        <v>6.6235234251679938</v>
      </c>
      <c r="M452" s="346">
        <f>SUM(I452:L452)</f>
        <v>1982.7801070768667</v>
      </c>
      <c r="N452" s="244"/>
      <c r="O452" s="245"/>
      <c r="P452" s="6"/>
    </row>
    <row r="453" spans="2:16" ht="15.6">
      <c r="B453" s="540"/>
      <c r="C453" s="246" t="s">
        <v>47</v>
      </c>
      <c r="D453" s="347" t="s">
        <v>8</v>
      </c>
      <c r="E453" s="253">
        <v>121</v>
      </c>
      <c r="F453" s="253">
        <v>0</v>
      </c>
      <c r="G453" s="253">
        <f t="shared" si="34"/>
        <v>121</v>
      </c>
      <c r="H453" s="249">
        <v>12.5</v>
      </c>
      <c r="I453" s="249"/>
      <c r="J453" s="249">
        <f t="shared" si="36"/>
        <v>1512.5</v>
      </c>
      <c r="K453" s="375">
        <f>BDI_SERVIÇOS_MATERIAIS!$E$11*J453</f>
        <v>440.93658365169853</v>
      </c>
      <c r="L453" s="359"/>
      <c r="M453" s="526"/>
      <c r="N453" s="253" t="s">
        <v>12</v>
      </c>
      <c r="O453" s="623">
        <v>44774</v>
      </c>
      <c r="P453" s="6"/>
    </row>
    <row r="454" spans="2:16" ht="16.2" thickBot="1">
      <c r="B454" s="543"/>
      <c r="C454" s="528" t="s">
        <v>158</v>
      </c>
      <c r="D454" s="281" t="s">
        <v>159</v>
      </c>
      <c r="E454" s="281">
        <v>1</v>
      </c>
      <c r="F454" s="281">
        <v>0</v>
      </c>
      <c r="G454" s="281">
        <f t="shared" si="34"/>
        <v>1</v>
      </c>
      <c r="H454" s="283">
        <v>22.72</v>
      </c>
      <c r="I454" s="283">
        <f t="shared" si="35"/>
        <v>22.72</v>
      </c>
      <c r="J454" s="283"/>
      <c r="K454" s="321"/>
      <c r="L454" s="529">
        <f>BDI_SERVIÇOS_MATERIAIS!$E$11*I454</f>
        <v>6.6235234251679938</v>
      </c>
      <c r="M454" s="530"/>
      <c r="N454" s="281" t="s">
        <v>5</v>
      </c>
      <c r="O454" s="284">
        <v>88316</v>
      </c>
      <c r="P454" s="6"/>
    </row>
    <row r="455" spans="2:16" ht="15.6">
      <c r="B455" s="539" t="s">
        <v>137</v>
      </c>
      <c r="C455" s="532" t="s">
        <v>48</v>
      </c>
      <c r="D455" s="347" t="s">
        <v>8</v>
      </c>
      <c r="E455" s="269"/>
      <c r="F455" s="269"/>
      <c r="G455" s="269"/>
      <c r="H455" s="349"/>
      <c r="I455" s="270">
        <f>SUM(I456:I457)</f>
        <v>295.36</v>
      </c>
      <c r="J455" s="270">
        <f>SUM(J456:J457)</f>
        <v>1387.5</v>
      </c>
      <c r="K455" s="334">
        <f>BDI_SERVIÇOS_MATERIAIS!$E$11*J455</f>
        <v>404.49554368048376</v>
      </c>
      <c r="L455" s="314">
        <f>BDI_SERVIÇOS_MATERIAIS!$E$11*I455</f>
        <v>86.105804527183921</v>
      </c>
      <c r="M455" s="350">
        <f>SUM(I455:L455)</f>
        <v>2173.4613482076679</v>
      </c>
      <c r="N455" s="269"/>
      <c r="O455" s="272"/>
      <c r="P455" s="6"/>
    </row>
    <row r="456" spans="2:16" ht="15.6">
      <c r="B456" s="540"/>
      <c r="C456" s="246" t="s">
        <v>48</v>
      </c>
      <c r="D456" s="347" t="s">
        <v>8</v>
      </c>
      <c r="E456" s="253">
        <v>111</v>
      </c>
      <c r="F456" s="253">
        <v>0</v>
      </c>
      <c r="G456" s="253">
        <f t="shared" si="34"/>
        <v>111</v>
      </c>
      <c r="H456" s="249">
        <v>12.5</v>
      </c>
      <c r="I456" s="249"/>
      <c r="J456" s="249">
        <f t="shared" si="36"/>
        <v>1387.5</v>
      </c>
      <c r="K456" s="375">
        <f>BDI_SERVIÇOS_MATERIAIS!$E$11*J456</f>
        <v>404.49554368048376</v>
      </c>
      <c r="L456" s="359"/>
      <c r="M456" s="526"/>
      <c r="N456" s="253" t="s">
        <v>12</v>
      </c>
      <c r="O456" s="623">
        <v>44774</v>
      </c>
      <c r="P456" s="6"/>
    </row>
    <row r="457" spans="2:16" ht="16.2" thickBot="1">
      <c r="B457" s="541"/>
      <c r="C457" s="535" t="s">
        <v>158</v>
      </c>
      <c r="D457" s="281" t="s">
        <v>159</v>
      </c>
      <c r="E457" s="261">
        <v>13</v>
      </c>
      <c r="F457" s="261">
        <v>0</v>
      </c>
      <c r="G457" s="261">
        <f t="shared" si="34"/>
        <v>13</v>
      </c>
      <c r="H457" s="283">
        <v>22.72</v>
      </c>
      <c r="I457" s="355">
        <f t="shared" si="35"/>
        <v>295.36</v>
      </c>
      <c r="J457" s="355"/>
      <c r="K457" s="321">
        <f>BDI_SERVIÇOS_MATERIAIS!$E$11*J457</f>
        <v>0</v>
      </c>
      <c r="L457" s="529">
        <f>BDI_SERVIÇOS_MATERIAIS!$E$11*I457</f>
        <v>86.105804527183921</v>
      </c>
      <c r="M457" s="536"/>
      <c r="N457" s="261" t="s">
        <v>5</v>
      </c>
      <c r="O457" s="364">
        <v>88316</v>
      </c>
      <c r="P457" s="6"/>
    </row>
    <row r="458" spans="2:16" ht="15.6">
      <c r="B458" s="542" t="s">
        <v>138</v>
      </c>
      <c r="C458" s="523" t="s">
        <v>49</v>
      </c>
      <c r="D458" s="347" t="s">
        <v>8</v>
      </c>
      <c r="E458" s="244"/>
      <c r="F458" s="244"/>
      <c r="G458" s="244"/>
      <c r="H458" s="287"/>
      <c r="I458" s="288">
        <f>SUM(I459:I460)</f>
        <v>22.72</v>
      </c>
      <c r="J458" s="288">
        <f>SUM(J459:J460)</f>
        <v>50</v>
      </c>
      <c r="K458" s="334">
        <f>BDI_SERVIÇOS_MATERIAIS!$E$11*J458</f>
        <v>14.576415988485902</v>
      </c>
      <c r="L458" s="314">
        <f>BDI_SERVIÇOS_MATERIAIS!$E$11*I458</f>
        <v>6.6235234251679938</v>
      </c>
      <c r="M458" s="346">
        <f>SUM(I458:L458)</f>
        <v>93.919939413653893</v>
      </c>
      <c r="N458" s="244"/>
      <c r="O458" s="245"/>
      <c r="P458" s="6"/>
    </row>
    <row r="459" spans="2:16" ht="15.6">
      <c r="B459" s="540"/>
      <c r="C459" s="246" t="s">
        <v>49</v>
      </c>
      <c r="D459" s="347" t="s">
        <v>8</v>
      </c>
      <c r="E459" s="253">
        <v>4</v>
      </c>
      <c r="F459" s="253">
        <v>0</v>
      </c>
      <c r="G459" s="253">
        <f t="shared" si="34"/>
        <v>4</v>
      </c>
      <c r="H459" s="544">
        <v>12.5</v>
      </c>
      <c r="I459" s="249"/>
      <c r="J459" s="249">
        <f t="shared" si="36"/>
        <v>50</v>
      </c>
      <c r="K459" s="375">
        <f>BDI_SERVIÇOS_MATERIAIS!$E$11*J459</f>
        <v>14.576415988485902</v>
      </c>
      <c r="L459" s="359"/>
      <c r="M459" s="526"/>
      <c r="N459" s="253" t="s">
        <v>12</v>
      </c>
      <c r="O459" s="623">
        <v>44774</v>
      </c>
      <c r="P459" s="6"/>
    </row>
    <row r="460" spans="2:16" ht="16.2" thickBot="1">
      <c r="B460" s="543"/>
      <c r="C460" s="528" t="s">
        <v>158</v>
      </c>
      <c r="D460" s="281" t="s">
        <v>159</v>
      </c>
      <c r="E460" s="281">
        <v>1</v>
      </c>
      <c r="F460" s="281">
        <v>0</v>
      </c>
      <c r="G460" s="281">
        <f t="shared" si="34"/>
        <v>1</v>
      </c>
      <c r="H460" s="283">
        <v>22.72</v>
      </c>
      <c r="I460" s="283">
        <f t="shared" si="35"/>
        <v>22.72</v>
      </c>
      <c r="J460" s="283"/>
      <c r="K460" s="321"/>
      <c r="L460" s="529">
        <f>BDI_SERVIÇOS_MATERIAIS!$E$11*I460</f>
        <v>6.6235234251679938</v>
      </c>
      <c r="M460" s="530"/>
      <c r="N460" s="281" t="s">
        <v>5</v>
      </c>
      <c r="O460" s="284">
        <v>88316</v>
      </c>
      <c r="P460" s="6"/>
    </row>
    <row r="461" spans="2:16" ht="15.6">
      <c r="B461" s="539" t="s">
        <v>139</v>
      </c>
      <c r="C461" s="532" t="s">
        <v>50</v>
      </c>
      <c r="D461" s="347" t="s">
        <v>8</v>
      </c>
      <c r="E461" s="269"/>
      <c r="F461" s="269"/>
      <c r="G461" s="269"/>
      <c r="H461" s="349"/>
      <c r="I461" s="270">
        <f>SUM(I462:I463)</f>
        <v>22.72</v>
      </c>
      <c r="J461" s="270">
        <f>SUM(J462:J463)</f>
        <v>37.5</v>
      </c>
      <c r="K461" s="334">
        <f>BDI_SERVIÇOS_MATERIAIS!$E$11*J461</f>
        <v>10.932311991364427</v>
      </c>
      <c r="L461" s="314">
        <f>BDI_SERVIÇOS_MATERIAIS!$E$11*I461</f>
        <v>6.6235234251679938</v>
      </c>
      <c r="M461" s="350">
        <f>SUM(I461:L461)</f>
        <v>77.775835416532416</v>
      </c>
      <c r="N461" s="269"/>
      <c r="O461" s="272"/>
      <c r="P461" s="6"/>
    </row>
    <row r="462" spans="2:16" ht="15.6">
      <c r="B462" s="540"/>
      <c r="C462" s="246" t="s">
        <v>50</v>
      </c>
      <c r="D462" s="347" t="s">
        <v>8</v>
      </c>
      <c r="E462" s="253">
        <v>3</v>
      </c>
      <c r="F462" s="253">
        <v>0</v>
      </c>
      <c r="G462" s="253">
        <f t="shared" si="34"/>
        <v>3</v>
      </c>
      <c r="H462" s="249">
        <v>12.5</v>
      </c>
      <c r="I462" s="253"/>
      <c r="J462" s="249">
        <f t="shared" si="36"/>
        <v>37.5</v>
      </c>
      <c r="K462" s="375">
        <f>BDI_SERVIÇOS_MATERIAIS!$E$11*J462</f>
        <v>10.932311991364427</v>
      </c>
      <c r="L462" s="359"/>
      <c r="M462" s="352"/>
      <c r="N462" s="253" t="s">
        <v>12</v>
      </c>
      <c r="O462" s="623">
        <v>44774</v>
      </c>
      <c r="P462" s="6"/>
    </row>
    <row r="463" spans="2:16" ht="16.2" thickBot="1">
      <c r="B463" s="543"/>
      <c r="C463" s="528" t="s">
        <v>158</v>
      </c>
      <c r="D463" s="281" t="s">
        <v>159</v>
      </c>
      <c r="E463" s="281">
        <v>1</v>
      </c>
      <c r="F463" s="281">
        <v>0</v>
      </c>
      <c r="G463" s="281">
        <v>1</v>
      </c>
      <c r="H463" s="283">
        <v>22.72</v>
      </c>
      <c r="I463" s="281">
        <f t="shared" si="35"/>
        <v>22.72</v>
      </c>
      <c r="J463" s="283"/>
      <c r="K463" s="375"/>
      <c r="L463" s="529">
        <f>BDI_SERVIÇOS_MATERIAIS!$E$11*I463</f>
        <v>6.6235234251679938</v>
      </c>
      <c r="M463" s="362"/>
      <c r="N463" s="281" t="s">
        <v>5</v>
      </c>
      <c r="O463" s="284">
        <v>88316</v>
      </c>
      <c r="P463" s="6"/>
    </row>
    <row r="464" spans="2:16" ht="16.2" thickBot="1">
      <c r="B464" s="640" t="s">
        <v>141</v>
      </c>
      <c r="C464" s="641"/>
      <c r="D464" s="641"/>
      <c r="E464" s="641"/>
      <c r="F464" s="641"/>
      <c r="G464" s="641"/>
      <c r="H464" s="642"/>
      <c r="I464" s="453">
        <f>I434+I437+I440+I443+I446+I449+I452+I455+I458+I461</f>
        <v>704.32</v>
      </c>
      <c r="J464" s="453">
        <f t="shared" ref="J464:L464" si="37">J434+J437+J440+J443+J446+J449+J452+J455+J458+J461</f>
        <v>5611.59</v>
      </c>
      <c r="K464" s="545">
        <f t="shared" si="37"/>
        <v>1635.9374039365521</v>
      </c>
      <c r="L464" s="299">
        <f t="shared" si="37"/>
        <v>205.3292261802078</v>
      </c>
      <c r="M464" s="346">
        <f>SUM(M434:M463)</f>
        <v>8157.1766301167609</v>
      </c>
      <c r="N464" s="301"/>
      <c r="O464" s="546"/>
      <c r="P464" s="6"/>
    </row>
    <row r="465" spans="2:16" ht="15.6">
      <c r="B465" s="547">
        <v>8</v>
      </c>
      <c r="C465" s="548" t="s">
        <v>403</v>
      </c>
      <c r="D465" s="411"/>
      <c r="E465" s="411"/>
      <c r="F465" s="411"/>
      <c r="G465" s="411"/>
      <c r="H465" s="411"/>
      <c r="I465" s="411"/>
      <c r="J465" s="411"/>
      <c r="K465" s="549"/>
      <c r="L465" s="495"/>
      <c r="M465" s="550"/>
      <c r="N465" s="414"/>
      <c r="O465" s="414"/>
      <c r="P465" s="5"/>
    </row>
    <row r="466" spans="2:16" ht="16.2" thickBot="1">
      <c r="B466" s="551" t="s">
        <v>404</v>
      </c>
      <c r="C466" s="552" t="s">
        <v>405</v>
      </c>
      <c r="D466" s="347" t="s">
        <v>8</v>
      </c>
      <c r="E466" s="281">
        <v>1</v>
      </c>
      <c r="F466" s="281">
        <v>1</v>
      </c>
      <c r="G466" s="281">
        <v>0</v>
      </c>
      <c r="H466" s="281"/>
      <c r="I466" s="281"/>
      <c r="J466" s="281"/>
      <c r="K466" s="553"/>
      <c r="L466" s="281"/>
      <c r="M466" s="348"/>
      <c r="N466" s="281"/>
      <c r="O466" s="284"/>
      <c r="P466" s="6"/>
    </row>
    <row r="467" spans="2:16" ht="15.6">
      <c r="B467" s="547">
        <v>9</v>
      </c>
      <c r="C467" s="548" t="s">
        <v>562</v>
      </c>
      <c r="D467" s="411"/>
      <c r="E467" s="411"/>
      <c r="F467" s="411"/>
      <c r="G467" s="411"/>
      <c r="H467" s="411"/>
      <c r="I467" s="411"/>
      <c r="J467" s="411"/>
      <c r="K467" s="549"/>
      <c r="L467" s="495"/>
      <c r="M467" s="550"/>
      <c r="N467" s="414"/>
      <c r="O467" s="414"/>
      <c r="P467" s="6"/>
    </row>
    <row r="468" spans="2:16" ht="16.2" thickBot="1">
      <c r="B468" s="554" t="s">
        <v>563</v>
      </c>
      <c r="C468" s="555" t="s">
        <v>567</v>
      </c>
      <c r="D468" s="363" t="s">
        <v>8</v>
      </c>
      <c r="E468" s="486">
        <v>2</v>
      </c>
      <c r="F468" s="486">
        <v>0</v>
      </c>
      <c r="G468" s="486">
        <f>E468-F468</f>
        <v>2</v>
      </c>
      <c r="H468" s="481">
        <v>1587.5</v>
      </c>
      <c r="I468" s="482"/>
      <c r="J468" s="482">
        <f>H468*G468</f>
        <v>3175</v>
      </c>
      <c r="K468" s="556">
        <f>BDI_SERVIÇOS_MATERIAIS!$E$11*J468</f>
        <v>925.60241526885477</v>
      </c>
      <c r="L468" s="368"/>
      <c r="M468" s="485">
        <f>SUM(I468:L468)</f>
        <v>4100.6024152688551</v>
      </c>
      <c r="N468" s="261" t="s">
        <v>12</v>
      </c>
      <c r="O468" s="634">
        <v>44774</v>
      </c>
      <c r="P468" s="6"/>
    </row>
    <row r="469" spans="2:16" ht="31.2" thickBot="1">
      <c r="B469" s="557" t="s">
        <v>566</v>
      </c>
      <c r="C469" s="558" t="s">
        <v>568</v>
      </c>
      <c r="D469" s="261" t="s">
        <v>8</v>
      </c>
      <c r="E469" s="261">
        <v>1</v>
      </c>
      <c r="F469" s="261">
        <v>0</v>
      </c>
      <c r="G469" s="261">
        <f>E469-F469</f>
        <v>1</v>
      </c>
      <c r="H469" s="355">
        <v>3205</v>
      </c>
      <c r="I469" s="368"/>
      <c r="J469" s="368">
        <f>H469*G469</f>
        <v>3205</v>
      </c>
      <c r="K469" s="261">
        <f>BDI_SERVIÇOS_MATERIAIS!$E$11*J469</f>
        <v>934.34826486194629</v>
      </c>
      <c r="L469" s="368"/>
      <c r="M469" s="368">
        <f>SUM(I469:L469)</f>
        <v>4139.3482648619465</v>
      </c>
      <c r="N469" s="253" t="s">
        <v>12</v>
      </c>
      <c r="O469" s="635">
        <v>44774</v>
      </c>
      <c r="P469" s="6"/>
    </row>
    <row r="470" spans="2:16" ht="16.2" thickBot="1">
      <c r="B470" s="640" t="s">
        <v>569</v>
      </c>
      <c r="C470" s="641"/>
      <c r="D470" s="641"/>
      <c r="E470" s="641"/>
      <c r="F470" s="641"/>
      <c r="G470" s="641"/>
      <c r="H470" s="642"/>
      <c r="I470" s="453"/>
      <c r="J470" s="453">
        <f>J468+J469</f>
        <v>6380</v>
      </c>
      <c r="K470" s="545">
        <f>K469+K468</f>
        <v>1859.9506801308012</v>
      </c>
      <c r="L470" s="381"/>
      <c r="M470" s="559">
        <f>SUM(M468:M469)</f>
        <v>8239.9506801308016</v>
      </c>
      <c r="N470" s="346"/>
      <c r="O470" s="546"/>
      <c r="P470" s="6"/>
    </row>
    <row r="471" spans="2:16" ht="16.2" thickBot="1">
      <c r="B471" s="657" t="s">
        <v>352</v>
      </c>
      <c r="C471" s="658"/>
      <c r="D471" s="659"/>
      <c r="E471" s="312"/>
      <c r="F471" s="312"/>
      <c r="G471" s="312"/>
      <c r="H471" s="312"/>
      <c r="I471" s="312"/>
      <c r="J471" s="312"/>
      <c r="K471" s="560"/>
      <c r="L471" s="312"/>
      <c r="M471" s="561"/>
      <c r="N471" s="414"/>
      <c r="O471" s="414"/>
      <c r="P471" s="6"/>
    </row>
    <row r="472" spans="2:16" ht="15.6">
      <c r="B472" s="562" t="s">
        <v>354</v>
      </c>
      <c r="C472" s="563" t="s">
        <v>432</v>
      </c>
      <c r="D472" s="347" t="s">
        <v>8</v>
      </c>
      <c r="E472" s="564">
        <v>1</v>
      </c>
      <c r="F472" s="244"/>
      <c r="G472" s="244"/>
      <c r="H472" s="287"/>
      <c r="I472" s="301">
        <f>SUM(I473:I475)</f>
        <v>860.76</v>
      </c>
      <c r="J472" s="244"/>
      <c r="K472" s="565"/>
      <c r="L472" s="299">
        <f>BDI_SERVIÇOS_MATERIAIS!$E$11*I472</f>
        <v>250.9359165249825</v>
      </c>
      <c r="M472" s="346">
        <f>SUM(I472:L472)</f>
        <v>1111.6959165249825</v>
      </c>
      <c r="N472" s="244"/>
      <c r="O472" s="245"/>
      <c r="P472" s="6"/>
    </row>
    <row r="473" spans="2:16" ht="15.6">
      <c r="B473" s="566" t="s">
        <v>355</v>
      </c>
      <c r="C473" s="246" t="s">
        <v>353</v>
      </c>
      <c r="D473" s="253" t="s">
        <v>159</v>
      </c>
      <c r="E473" s="253">
        <v>4</v>
      </c>
      <c r="F473" s="253">
        <v>0</v>
      </c>
      <c r="G473" s="253">
        <f>E473-F473</f>
        <v>4</v>
      </c>
      <c r="H473" s="249">
        <v>107.11</v>
      </c>
      <c r="I473" s="249">
        <f>G473*H473</f>
        <v>428.44</v>
      </c>
      <c r="J473" s="253"/>
      <c r="K473" s="567"/>
      <c r="L473" s="274">
        <f>BDI_SERVIÇOS_MATERIAIS!$E$11*I473</f>
        <v>124.902393322138</v>
      </c>
      <c r="M473" s="425"/>
      <c r="N473" s="253" t="s">
        <v>5</v>
      </c>
      <c r="O473" s="254">
        <v>90778</v>
      </c>
      <c r="P473" s="6"/>
    </row>
    <row r="474" spans="2:16" ht="30">
      <c r="B474" s="566" t="s">
        <v>356</v>
      </c>
      <c r="C474" s="568" t="s">
        <v>180</v>
      </c>
      <c r="D474" s="253" t="s">
        <v>159</v>
      </c>
      <c r="E474" s="253">
        <v>8</v>
      </c>
      <c r="F474" s="253">
        <v>0</v>
      </c>
      <c r="G474" s="253">
        <f t="shared" ref="G474:G483" si="38">E474-F474</f>
        <v>8</v>
      </c>
      <c r="H474" s="249">
        <v>24.98</v>
      </c>
      <c r="I474" s="249">
        <f>G474*H474</f>
        <v>199.84</v>
      </c>
      <c r="J474" s="253"/>
      <c r="K474" s="567"/>
      <c r="L474" s="274">
        <f>BDI_SERVIÇOS_MATERIAIS!$E$11*I474</f>
        <v>58.259019422780455</v>
      </c>
      <c r="M474" s="425"/>
      <c r="N474" s="253" t="s">
        <v>5</v>
      </c>
      <c r="O474" s="254">
        <v>88248</v>
      </c>
      <c r="P474" s="6"/>
    </row>
    <row r="475" spans="2:16" ht="16.2" thickBot="1">
      <c r="B475" s="551" t="s">
        <v>357</v>
      </c>
      <c r="C475" s="569" t="s">
        <v>157</v>
      </c>
      <c r="D475" s="281" t="s">
        <v>159</v>
      </c>
      <c r="E475" s="281">
        <v>8</v>
      </c>
      <c r="F475" s="281">
        <v>0</v>
      </c>
      <c r="G475" s="281">
        <f t="shared" si="38"/>
        <v>8</v>
      </c>
      <c r="H475" s="283">
        <v>29.06</v>
      </c>
      <c r="I475" s="283">
        <f>G475*H475</f>
        <v>232.48</v>
      </c>
      <c r="J475" s="281"/>
      <c r="K475" s="553"/>
      <c r="L475" s="295">
        <f>BDI_SERVIÇOS_MATERIAIS!$E$11*I475</f>
        <v>67.774503780064052</v>
      </c>
      <c r="M475" s="424"/>
      <c r="N475" s="281" t="s">
        <v>5</v>
      </c>
      <c r="O475" s="284">
        <v>88267</v>
      </c>
      <c r="P475" s="6"/>
    </row>
    <row r="476" spans="2:16" ht="15.6">
      <c r="B476" s="562" t="s">
        <v>361</v>
      </c>
      <c r="C476" s="563" t="s">
        <v>358</v>
      </c>
      <c r="D476" s="347" t="s">
        <v>8</v>
      </c>
      <c r="E476" s="244">
        <v>1</v>
      </c>
      <c r="F476" s="244"/>
      <c r="G476" s="244"/>
      <c r="H476" s="287"/>
      <c r="I476" s="288">
        <f>SUM(I477:I479)</f>
        <v>1736.56</v>
      </c>
      <c r="J476" s="244"/>
      <c r="K476" s="565"/>
      <c r="L476" s="299">
        <f>BDI_SERVIÇOS_MATERIAIS!$E$11*I476</f>
        <v>506.25641897930154</v>
      </c>
      <c r="M476" s="346">
        <f>SUM(I476:L476)</f>
        <v>2242.8164189793015</v>
      </c>
      <c r="N476" s="244"/>
      <c r="O476" s="245"/>
      <c r="P476" s="6"/>
    </row>
    <row r="477" spans="2:16" ht="15.6">
      <c r="B477" s="566" t="s">
        <v>362</v>
      </c>
      <c r="C477" s="246" t="s">
        <v>353</v>
      </c>
      <c r="D477" s="253" t="s">
        <v>159</v>
      </c>
      <c r="E477" s="253">
        <v>8</v>
      </c>
      <c r="F477" s="253">
        <v>0</v>
      </c>
      <c r="G477" s="253">
        <f t="shared" si="38"/>
        <v>8</v>
      </c>
      <c r="H477" s="249">
        <v>107.11</v>
      </c>
      <c r="I477" s="249">
        <f>G477*H477</f>
        <v>856.88</v>
      </c>
      <c r="J477" s="253"/>
      <c r="K477" s="567"/>
      <c r="L477" s="274">
        <f>BDI_SERVIÇOS_MATERIAIS!$E$11*I477</f>
        <v>249.80478664427599</v>
      </c>
      <c r="M477" s="425"/>
      <c r="N477" s="253" t="s">
        <v>5</v>
      </c>
      <c r="O477" s="254">
        <v>90778</v>
      </c>
      <c r="P477" s="6"/>
    </row>
    <row r="478" spans="2:16" ht="15.6">
      <c r="B478" s="566" t="s">
        <v>363</v>
      </c>
      <c r="C478" s="568" t="s">
        <v>360</v>
      </c>
      <c r="D478" s="253" t="s">
        <v>159</v>
      </c>
      <c r="E478" s="253">
        <v>16</v>
      </c>
      <c r="F478" s="253">
        <v>0</v>
      </c>
      <c r="G478" s="253">
        <f t="shared" si="38"/>
        <v>16</v>
      </c>
      <c r="H478" s="249">
        <v>32.26</v>
      </c>
      <c r="I478" s="249">
        <f t="shared" ref="I478:I479" si="39">G478*H478</f>
        <v>516.16</v>
      </c>
      <c r="J478" s="253"/>
      <c r="K478" s="567"/>
      <c r="L478" s="274">
        <f>BDI_SERVIÇOS_MATERIAIS!$E$11*I478</f>
        <v>150.47525753233765</v>
      </c>
      <c r="M478" s="425"/>
      <c r="N478" s="253" t="s">
        <v>5</v>
      </c>
      <c r="O478" s="254">
        <v>88266</v>
      </c>
      <c r="P478" s="6"/>
    </row>
    <row r="479" spans="2:16" ht="16.2" thickBot="1">
      <c r="B479" s="551" t="s">
        <v>364</v>
      </c>
      <c r="C479" s="528" t="s">
        <v>158</v>
      </c>
      <c r="D479" s="281" t="s">
        <v>159</v>
      </c>
      <c r="E479" s="281">
        <v>16</v>
      </c>
      <c r="F479" s="281">
        <v>0</v>
      </c>
      <c r="G479" s="281">
        <f t="shared" si="38"/>
        <v>16</v>
      </c>
      <c r="H479" s="283">
        <v>22.72</v>
      </c>
      <c r="I479" s="283">
        <f t="shared" si="39"/>
        <v>363.52</v>
      </c>
      <c r="J479" s="281"/>
      <c r="K479" s="553"/>
      <c r="L479" s="295">
        <f>BDI_SERVIÇOS_MATERIAIS!$E$11*I479</f>
        <v>105.9763748026879</v>
      </c>
      <c r="M479" s="424"/>
      <c r="N479" s="281" t="s">
        <v>5</v>
      </c>
      <c r="O479" s="284">
        <v>88316</v>
      </c>
      <c r="P479" s="6"/>
    </row>
    <row r="480" spans="2:16" ht="15.6">
      <c r="B480" s="562" t="s">
        <v>365</v>
      </c>
      <c r="C480" s="563" t="s">
        <v>359</v>
      </c>
      <c r="D480" s="244" t="s">
        <v>8</v>
      </c>
      <c r="E480" s="244">
        <v>1</v>
      </c>
      <c r="F480" s="244"/>
      <c r="G480" s="244"/>
      <c r="H480" s="287"/>
      <c r="I480" s="288">
        <f>SUM(I481:I483)</f>
        <v>1721.52</v>
      </c>
      <c r="J480" s="244"/>
      <c r="K480" s="565"/>
      <c r="L480" s="299">
        <f>BDI_SERVIÇOS_MATERIAIS!$E$11*I480</f>
        <v>501.87183304996501</v>
      </c>
      <c r="M480" s="346">
        <f>SUM(I480:L480)</f>
        <v>2223.391833049965</v>
      </c>
      <c r="N480" s="244"/>
      <c r="O480" s="245"/>
      <c r="P480" s="6"/>
    </row>
    <row r="481" spans="2:16" ht="15.6">
      <c r="B481" s="566" t="s">
        <v>366</v>
      </c>
      <c r="C481" s="246" t="s">
        <v>353</v>
      </c>
      <c r="D481" s="253" t="s">
        <v>159</v>
      </c>
      <c r="E481" s="253">
        <v>8</v>
      </c>
      <c r="F481" s="253">
        <v>0</v>
      </c>
      <c r="G481" s="253">
        <f t="shared" si="38"/>
        <v>8</v>
      </c>
      <c r="H481" s="249">
        <v>107.11</v>
      </c>
      <c r="I481" s="249">
        <f>G481*H481</f>
        <v>856.88</v>
      </c>
      <c r="J481" s="253"/>
      <c r="K481" s="567"/>
      <c r="L481" s="274">
        <f>BDI_SERVIÇOS_MATERIAIS!$E$11*I481</f>
        <v>249.80478664427599</v>
      </c>
      <c r="M481" s="425"/>
      <c r="N481" s="253" t="s">
        <v>5</v>
      </c>
      <c r="O481" s="254">
        <v>90778</v>
      </c>
      <c r="P481" s="6"/>
    </row>
    <row r="482" spans="2:16" ht="30">
      <c r="B482" s="566" t="s">
        <v>367</v>
      </c>
      <c r="C482" s="568" t="s">
        <v>180</v>
      </c>
      <c r="D482" s="253" t="s">
        <v>159</v>
      </c>
      <c r="E482" s="253">
        <v>16</v>
      </c>
      <c r="F482" s="253">
        <v>0</v>
      </c>
      <c r="G482" s="253">
        <f t="shared" si="38"/>
        <v>16</v>
      </c>
      <c r="H482" s="249">
        <v>24.98</v>
      </c>
      <c r="I482" s="249">
        <f t="shared" ref="I482:I483" si="40">G482*H482</f>
        <v>399.68</v>
      </c>
      <c r="J482" s="253"/>
      <c r="K482" s="567"/>
      <c r="L482" s="274">
        <f>BDI_SERVIÇOS_MATERIAIS!$E$11*I482</f>
        <v>116.51803884556091</v>
      </c>
      <c r="M482" s="425"/>
      <c r="N482" s="253" t="s">
        <v>5</v>
      </c>
      <c r="O482" s="254">
        <v>88248</v>
      </c>
      <c r="P482" s="6"/>
    </row>
    <row r="483" spans="2:16" ht="16.2" thickBot="1">
      <c r="B483" s="551" t="s">
        <v>368</v>
      </c>
      <c r="C483" s="569" t="s">
        <v>157</v>
      </c>
      <c r="D483" s="281" t="s">
        <v>159</v>
      </c>
      <c r="E483" s="281">
        <v>16</v>
      </c>
      <c r="F483" s="281">
        <v>0</v>
      </c>
      <c r="G483" s="281">
        <f t="shared" si="38"/>
        <v>16</v>
      </c>
      <c r="H483" s="283">
        <v>29.06</v>
      </c>
      <c r="I483" s="283">
        <f t="shared" si="40"/>
        <v>464.96</v>
      </c>
      <c r="J483" s="281"/>
      <c r="K483" s="553"/>
      <c r="L483" s="368">
        <f>BDI_SERVIÇOS_MATERIAIS!$E$11*I483</f>
        <v>135.5490075601281</v>
      </c>
      <c r="M483" s="424"/>
      <c r="N483" s="281" t="s">
        <v>5</v>
      </c>
      <c r="O483" s="284">
        <v>88267</v>
      </c>
      <c r="P483" s="6"/>
    </row>
    <row r="484" spans="2:16" ht="16.2" thickBot="1">
      <c r="B484" s="643" t="s">
        <v>463</v>
      </c>
      <c r="C484" s="644"/>
      <c r="D484" s="644"/>
      <c r="E484" s="644"/>
      <c r="F484" s="644"/>
      <c r="G484" s="644"/>
      <c r="H484" s="644"/>
      <c r="I484" s="570">
        <f>I472+I476+I480</f>
        <v>4318.84</v>
      </c>
      <c r="J484" s="570"/>
      <c r="K484" s="571"/>
      <c r="L484" s="572">
        <f>L472+L476+L480</f>
        <v>1259.0641685542491</v>
      </c>
      <c r="M484" s="570">
        <f>SUM(M472:M483)</f>
        <v>5577.9041685542488</v>
      </c>
      <c r="N484" s="448"/>
      <c r="O484" s="573"/>
      <c r="P484" s="6"/>
    </row>
    <row r="485" spans="2:16" ht="16.2" thickBot="1">
      <c r="B485" s="660" t="s">
        <v>481</v>
      </c>
      <c r="C485" s="661"/>
      <c r="D485" s="661"/>
      <c r="E485" s="661"/>
      <c r="F485" s="265"/>
      <c r="G485" s="265"/>
      <c r="H485" s="265"/>
      <c r="I485" s="265"/>
      <c r="J485" s="265"/>
      <c r="K485" s="574"/>
      <c r="L485" s="265"/>
      <c r="M485" s="575"/>
      <c r="N485" s="266"/>
      <c r="O485" s="266"/>
      <c r="P485" s="6"/>
    </row>
    <row r="486" spans="2:16" ht="15.6">
      <c r="B486" s="576" t="s">
        <v>482</v>
      </c>
      <c r="C486" s="577" t="s">
        <v>555</v>
      </c>
      <c r="D486" s="269" t="s">
        <v>8</v>
      </c>
      <c r="E486" s="578">
        <v>1</v>
      </c>
      <c r="F486" s="269"/>
      <c r="G486" s="579"/>
      <c r="H486" s="579"/>
      <c r="I486" s="299">
        <f>SUM(I487:I488)</f>
        <v>137987.19999999998</v>
      </c>
      <c r="J486" s="299">
        <f>SUM(J487:J489)</f>
        <v>8040</v>
      </c>
      <c r="K486" s="299">
        <f>SUM(K487:K489)</f>
        <v>2343.887690948533</v>
      </c>
      <c r="L486" s="299">
        <f>I486*BDI_SERVIÇOS_MATERIAIS!$E$11</f>
        <v>40227.176565728034</v>
      </c>
      <c r="M486" s="299">
        <f>L486+I486+J486+K486</f>
        <v>188598.26425667654</v>
      </c>
      <c r="N486" s="299"/>
      <c r="O486" s="580"/>
      <c r="P486" s="6"/>
    </row>
    <row r="487" spans="2:16" ht="15.6">
      <c r="B487" s="581" t="s">
        <v>483</v>
      </c>
      <c r="C487" s="582" t="s">
        <v>353</v>
      </c>
      <c r="D487" s="583" t="s">
        <v>159</v>
      </c>
      <c r="E487" s="583">
        <f>80*4</f>
        <v>320</v>
      </c>
      <c r="F487" s="426">
        <v>0</v>
      </c>
      <c r="G487" s="426">
        <f>E487-F487</f>
        <v>320</v>
      </c>
      <c r="H487" s="249">
        <v>107.11</v>
      </c>
      <c r="I487" s="274">
        <f>H487*G487</f>
        <v>34275.199999999997</v>
      </c>
      <c r="J487" s="274"/>
      <c r="K487" s="274"/>
      <c r="L487" s="274">
        <f>I487*BDI_SERVIÇOS_MATERIAIS!$E$11</f>
        <v>9992.1914657710386</v>
      </c>
      <c r="M487" s="274"/>
      <c r="N487" s="253" t="s">
        <v>5</v>
      </c>
      <c r="O487" s="254">
        <v>90778</v>
      </c>
      <c r="P487" s="6"/>
    </row>
    <row r="488" spans="2:16" ht="16.2" thickBot="1">
      <c r="B488" s="584" t="s">
        <v>484</v>
      </c>
      <c r="C488" s="585" t="s">
        <v>486</v>
      </c>
      <c r="D488" s="586" t="s">
        <v>159</v>
      </c>
      <c r="E488" s="586">
        <f>80*5*8</f>
        <v>3200</v>
      </c>
      <c r="F488" s="587">
        <v>0</v>
      </c>
      <c r="G488" s="587">
        <f>E488-F488</f>
        <v>3200</v>
      </c>
      <c r="H488" s="588">
        <v>32.409999999999997</v>
      </c>
      <c r="I488" s="295">
        <f>H488*G488</f>
        <v>103711.99999999999</v>
      </c>
      <c r="J488" s="295"/>
      <c r="K488" s="295"/>
      <c r="L488" s="295">
        <f>I488*BDI_SERVIÇOS_MATERIAIS!$E$11</f>
        <v>30234.985099956994</v>
      </c>
      <c r="M488" s="295"/>
      <c r="N488" s="281" t="s">
        <v>5</v>
      </c>
      <c r="O488" s="589">
        <v>90776</v>
      </c>
      <c r="P488" s="6"/>
    </row>
    <row r="489" spans="2:16" ht="16.2" thickBot="1">
      <c r="B489" s="590" t="s">
        <v>485</v>
      </c>
      <c r="C489" s="591" t="s">
        <v>558</v>
      </c>
      <c r="D489" s="269" t="s">
        <v>8</v>
      </c>
      <c r="E489" s="592">
        <v>1</v>
      </c>
      <c r="F489" s="593">
        <v>0</v>
      </c>
      <c r="G489" s="593">
        <f>E489-F489</f>
        <v>1</v>
      </c>
      <c r="H489" s="594">
        <v>8040</v>
      </c>
      <c r="I489" s="382"/>
      <c r="J489" s="382">
        <f>G489*H489</f>
        <v>8040</v>
      </c>
      <c r="K489" s="595">
        <f>BDI_SERVIÇOS_MATERIAIS!$E$11*J489</f>
        <v>2343.887690948533</v>
      </c>
      <c r="L489" s="382"/>
      <c r="M489" s="596"/>
      <c r="N489" s="253" t="s">
        <v>12</v>
      </c>
      <c r="O489" s="636">
        <v>44774</v>
      </c>
      <c r="P489" s="6"/>
    </row>
    <row r="490" spans="2:16" ht="16.2" thickBot="1">
      <c r="B490" s="660" t="s">
        <v>369</v>
      </c>
      <c r="C490" s="661"/>
      <c r="D490" s="661"/>
      <c r="E490" s="661"/>
      <c r="F490" s="265"/>
      <c r="G490" s="265"/>
      <c r="H490" s="265"/>
      <c r="I490" s="265"/>
      <c r="J490" s="265"/>
      <c r="K490" s="574"/>
      <c r="L490" s="265"/>
      <c r="M490" s="575"/>
      <c r="N490" s="266"/>
      <c r="O490" s="266"/>
      <c r="P490" s="6"/>
    </row>
    <row r="491" spans="2:16" ht="16.2" thickBot="1">
      <c r="B491" s="554" t="s">
        <v>371</v>
      </c>
      <c r="C491" s="597" t="s">
        <v>370</v>
      </c>
      <c r="D491" s="518" t="s">
        <v>159</v>
      </c>
      <c r="E491" s="518">
        <v>48</v>
      </c>
      <c r="F491" s="518">
        <v>0</v>
      </c>
      <c r="G491" s="518">
        <f>E491-F491</f>
        <v>48</v>
      </c>
      <c r="H491" s="519">
        <v>51.54</v>
      </c>
      <c r="I491" s="516">
        <f>G491*H491</f>
        <v>2473.92</v>
      </c>
      <c r="J491" s="518"/>
      <c r="K491" s="598"/>
      <c r="L491" s="306">
        <f>BDI_SERVIÇOS_MATERIAIS!$E$11*I491</f>
        <v>721.21774084470087</v>
      </c>
      <c r="M491" s="305">
        <f>SUM(I491:L491)</f>
        <v>3195.1377408447011</v>
      </c>
      <c r="N491" s="518" t="s">
        <v>5</v>
      </c>
      <c r="O491" s="398">
        <v>100309</v>
      </c>
      <c r="P491" s="6"/>
    </row>
    <row r="492" spans="2:16" ht="16.2" thickBot="1">
      <c r="B492" s="662" t="s">
        <v>372</v>
      </c>
      <c r="C492" s="663"/>
      <c r="D492" s="663"/>
      <c r="E492" s="663"/>
      <c r="F492" s="411"/>
      <c r="G492" s="411"/>
      <c r="H492" s="411"/>
      <c r="I492" s="411"/>
      <c r="J492" s="411"/>
      <c r="K492" s="549"/>
      <c r="L492" s="495"/>
      <c r="M492" s="550"/>
      <c r="N492" s="414"/>
      <c r="O492" s="414"/>
      <c r="P492" s="6"/>
    </row>
    <row r="493" spans="2:16" ht="15.6">
      <c r="B493" s="358" t="s">
        <v>373</v>
      </c>
      <c r="C493" s="599" t="s">
        <v>374</v>
      </c>
      <c r="D493" s="600" t="s">
        <v>375</v>
      </c>
      <c r="E493" s="600">
        <v>14616.97</v>
      </c>
      <c r="F493" s="600"/>
      <c r="G493" s="600"/>
      <c r="H493" s="446"/>
      <c r="I493" s="601">
        <f>SUM(I494:I495)</f>
        <v>9410.5</v>
      </c>
      <c r="J493" s="600"/>
      <c r="K493" s="602"/>
      <c r="L493" s="448">
        <f>SUM(L494:L495)</f>
        <v>2743.4272531929314</v>
      </c>
      <c r="M493" s="570">
        <f>I493+L493</f>
        <v>12153.927253192931</v>
      </c>
      <c r="N493" s="600"/>
      <c r="O493" s="603"/>
      <c r="P493" s="6"/>
    </row>
    <row r="494" spans="2:16" ht="15.6">
      <c r="B494" s="360"/>
      <c r="C494" s="604" t="s">
        <v>353</v>
      </c>
      <c r="D494" s="277" t="s">
        <v>159</v>
      </c>
      <c r="E494" s="605">
        <v>50</v>
      </c>
      <c r="F494" s="605">
        <v>0</v>
      </c>
      <c r="G494" s="605">
        <f>E494-F494</f>
        <v>50</v>
      </c>
      <c r="H494" s="249">
        <v>107.11</v>
      </c>
      <c r="I494" s="249">
        <f>G494*H494</f>
        <v>5355.5</v>
      </c>
      <c r="J494" s="253"/>
      <c r="K494" s="253"/>
      <c r="L494" s="368">
        <f>BDI_SERVIÇOS_MATERIAIS!$E$11*I494</f>
        <v>1561.2799165267249</v>
      </c>
      <c r="M494" s="274"/>
      <c r="N494" s="253" t="s">
        <v>5</v>
      </c>
      <c r="O494" s="254">
        <v>90778</v>
      </c>
      <c r="P494" s="6"/>
    </row>
    <row r="495" spans="2:16" ht="16.2" thickBot="1">
      <c r="B495" s="391"/>
      <c r="C495" s="320" t="s">
        <v>480</v>
      </c>
      <c r="D495" s="467" t="s">
        <v>159</v>
      </c>
      <c r="E495" s="606">
        <v>100</v>
      </c>
      <c r="F495" s="606">
        <v>0</v>
      </c>
      <c r="G495" s="606">
        <f>E495-F495</f>
        <v>100</v>
      </c>
      <c r="H495" s="342">
        <v>40.549999999999997</v>
      </c>
      <c r="I495" s="283">
        <f>H495*G495</f>
        <v>4054.9999999999995</v>
      </c>
      <c r="J495" s="281"/>
      <c r="K495" s="281"/>
      <c r="L495" s="295">
        <f>BDI_SERVIÇOS_MATERIAIS!$E$11*I495</f>
        <v>1182.1473366662065</v>
      </c>
      <c r="M495" s="295"/>
      <c r="N495" s="518" t="s">
        <v>5</v>
      </c>
      <c r="O495" s="607">
        <v>90775</v>
      </c>
      <c r="P495" s="6"/>
    </row>
    <row r="496" spans="2:16" ht="15.6">
      <c r="B496" s="122"/>
      <c r="C496" s="124"/>
      <c r="D496" s="125"/>
      <c r="E496" s="126"/>
      <c r="F496" s="126"/>
      <c r="G496" s="126"/>
      <c r="H496" s="127"/>
      <c r="I496" s="123"/>
      <c r="J496" s="6"/>
      <c r="K496" s="6"/>
      <c r="L496" s="128"/>
      <c r="M496" s="128"/>
      <c r="N496" s="6"/>
      <c r="O496" s="125"/>
      <c r="P496" s="6"/>
    </row>
    <row r="497" spans="2:16" ht="16.2" thickBot="1">
      <c r="B497" s="122"/>
      <c r="C497" s="124"/>
      <c r="D497" s="125"/>
      <c r="E497" s="126"/>
      <c r="F497" s="126"/>
      <c r="G497" s="126"/>
      <c r="H497" s="127"/>
      <c r="I497" s="123"/>
      <c r="J497" s="6"/>
      <c r="K497" s="6"/>
      <c r="L497" s="128"/>
      <c r="M497" s="128"/>
      <c r="N497" s="6"/>
      <c r="O497" s="125"/>
      <c r="P497" s="6"/>
    </row>
    <row r="498" spans="2:16" ht="16.2" thickBot="1">
      <c r="B498" s="645" t="s">
        <v>464</v>
      </c>
      <c r="C498" s="646"/>
      <c r="D498" s="646"/>
      <c r="E498" s="646"/>
      <c r="F498" s="646"/>
      <c r="G498" s="646"/>
      <c r="H498" s="647"/>
      <c r="I498" s="150" t="s">
        <v>53</v>
      </c>
      <c r="J498" s="149" t="s">
        <v>52</v>
      </c>
      <c r="K498" s="149" t="s">
        <v>344</v>
      </c>
      <c r="L498" s="151" t="s">
        <v>343</v>
      </c>
      <c r="M498" s="691" t="s">
        <v>161</v>
      </c>
      <c r="N498" s="692"/>
      <c r="O498" s="693"/>
      <c r="P498" s="6"/>
    </row>
    <row r="499" spans="2:16" ht="15.6">
      <c r="B499" s="648"/>
      <c r="C499" s="649"/>
      <c r="D499" s="649"/>
      <c r="E499" s="649"/>
      <c r="F499" s="649"/>
      <c r="G499" s="649"/>
      <c r="H499" s="650"/>
      <c r="I499" s="638">
        <f>I12+I79+I248+I278+I365+I409+I432+I484+I491+I493+I464+I486+I489</f>
        <v>629362.79675999994</v>
      </c>
      <c r="J499" s="638">
        <f>J12+J79+J248+J278+J365+J409+J432+J484+J491+J493+J464+J470+J486</f>
        <v>1944104.2569176666</v>
      </c>
      <c r="K499" s="700">
        <f>K12+K79+K248+K278+K365+K409+K432+K484+K491+K493+K464+K470+K486</f>
        <v>566761.44747636351</v>
      </c>
      <c r="L499" s="702">
        <f>L12+L79+L248+L278+L365+L409+L432+L484+L491+L493+L464+L486+L470</f>
        <v>183477.07866501331</v>
      </c>
      <c r="M499" s="694">
        <f>M12+M79+M248+M278+M365+M409+M432+M464+M484+M491+M493+M486+M470</f>
        <v>3323705.5798190427</v>
      </c>
      <c r="N499" s="695"/>
      <c r="O499" s="696"/>
      <c r="P499" s="9"/>
    </row>
    <row r="500" spans="2:16" ht="16.2" thickBot="1">
      <c r="B500" s="651"/>
      <c r="C500" s="652"/>
      <c r="D500" s="652"/>
      <c r="E500" s="652"/>
      <c r="F500" s="652"/>
      <c r="G500" s="652"/>
      <c r="H500" s="653"/>
      <c r="I500" s="639"/>
      <c r="J500" s="639"/>
      <c r="K500" s="701"/>
      <c r="L500" s="703"/>
      <c r="M500" s="697"/>
      <c r="N500" s="698"/>
      <c r="O500" s="699"/>
      <c r="P500" s="9"/>
    </row>
    <row r="501" spans="2:16">
      <c r="D501" s="1"/>
      <c r="P501"/>
    </row>
    <row r="502" spans="2:16" ht="15">
      <c r="D502" s="154"/>
      <c r="E502" s="161" t="s">
        <v>557</v>
      </c>
      <c r="O502" s="226"/>
    </row>
    <row r="504" spans="2:16" ht="15" thickBot="1"/>
    <row r="505" spans="2:16" ht="15" thickBot="1">
      <c r="C505" s="730" t="s">
        <v>624</v>
      </c>
      <c r="D505" s="724"/>
    </row>
    <row r="506" spans="2:16" ht="17.399999999999999">
      <c r="C506" s="50" t="s">
        <v>625</v>
      </c>
      <c r="D506" s="725"/>
    </row>
    <row r="507" spans="2:16" ht="17.399999999999999">
      <c r="C507" s="52" t="s">
        <v>628</v>
      </c>
      <c r="D507" s="726"/>
    </row>
    <row r="508" spans="2:16" ht="17.399999999999999">
      <c r="C508" s="678" t="s">
        <v>626</v>
      </c>
      <c r="D508" s="727"/>
    </row>
    <row r="509" spans="2:16" ht="18" thickBot="1">
      <c r="C509" s="728" t="s">
        <v>627</v>
      </c>
      <c r="D509" s="729"/>
    </row>
  </sheetData>
  <autoFilter ref="B10:P500" xr:uid="{669A0EEB-780C-49C8-ABA9-533D5C93DF7E}"/>
  <mergeCells count="32">
    <mergeCell ref="C508:D508"/>
    <mergeCell ref="C509:D509"/>
    <mergeCell ref="M498:O498"/>
    <mergeCell ref="M499:O500"/>
    <mergeCell ref="J499:J500"/>
    <mergeCell ref="K499:K500"/>
    <mergeCell ref="L499:L500"/>
    <mergeCell ref="B5:O5"/>
    <mergeCell ref="B248:H248"/>
    <mergeCell ref="B409:H409"/>
    <mergeCell ref="B278:H278"/>
    <mergeCell ref="B365:H365"/>
    <mergeCell ref="N284:N289"/>
    <mergeCell ref="I284:I289"/>
    <mergeCell ref="B9:C9"/>
    <mergeCell ref="B8:C8"/>
    <mergeCell ref="B79:H79"/>
    <mergeCell ref="B12:B14"/>
    <mergeCell ref="H284:H289"/>
    <mergeCell ref="J284:J289"/>
    <mergeCell ref="K284:K289"/>
    <mergeCell ref="O284:O289"/>
    <mergeCell ref="I499:I500"/>
    <mergeCell ref="B464:H464"/>
    <mergeCell ref="B484:H484"/>
    <mergeCell ref="B498:H500"/>
    <mergeCell ref="B432:H432"/>
    <mergeCell ref="B471:D471"/>
    <mergeCell ref="B490:E490"/>
    <mergeCell ref="B492:E492"/>
    <mergeCell ref="B485:E485"/>
    <mergeCell ref="B470:H470"/>
  </mergeCells>
  <phoneticPr fontId="4" type="noConversion"/>
  <pageMargins left="0.25" right="0.25" top="0.75" bottom="0.75" header="0.3" footer="0.3"/>
  <pageSetup paperSize="9" scale="39" fitToHeight="0" orientation="landscape" r:id="rId1"/>
  <rowBreaks count="11" manualBreakCount="11">
    <brk id="45" min="1" max="14" man="1"/>
    <brk id="79" min="1" max="14" man="1"/>
    <brk id="122" min="1" max="14" man="1"/>
    <brk id="172" min="1" max="14" man="1"/>
    <brk id="226" min="1" max="14" man="1"/>
    <brk id="248" min="1" max="14" man="1"/>
    <brk id="278" min="1" max="14" man="1"/>
    <brk id="331" min="1" max="14" man="1"/>
    <brk id="365" min="1" max="14" man="1"/>
    <brk id="409" min="1" max="14" man="1"/>
    <brk id="470" min="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C2455-EC92-4734-AB26-1B3CDC27A171}">
  <dimension ref="C2:CZ216"/>
  <sheetViews>
    <sheetView zoomScale="60" zoomScaleNormal="60" workbookViewId="0">
      <pane xSplit="16" ySplit="5" topLeftCell="Q97" activePane="bottomRight" state="frozen"/>
      <selection pane="topRight" activeCell="L1" sqref="L1"/>
      <selection pane="bottomLeft" activeCell="A6" sqref="A6"/>
      <selection pane="bottomRight" activeCell="G189" sqref="G189"/>
    </sheetView>
  </sheetViews>
  <sheetFormatPr defaultColWidth="9.109375" defaultRowHeight="14.4"/>
  <cols>
    <col min="1" max="1" width="1.109375" style="13" customWidth="1"/>
    <col min="2" max="2" width="6.33203125" style="13" customWidth="1"/>
    <col min="3" max="3" width="36.88671875" style="57" customWidth="1"/>
    <col min="4" max="4" width="13" style="56" customWidth="1"/>
    <col min="5" max="5" width="14.5546875" style="56" customWidth="1"/>
    <col min="6" max="6" width="35.88671875" style="57" customWidth="1"/>
    <col min="7" max="7" width="20.44140625" style="13" customWidth="1"/>
    <col min="8" max="8" width="19.88671875" style="13" customWidth="1"/>
    <col min="9" max="9" width="18.88671875" style="13" customWidth="1"/>
    <col min="10" max="11" width="21.109375" style="13" customWidth="1"/>
    <col min="12" max="12" width="14.88671875" style="54" customWidth="1"/>
    <col min="13" max="13" width="15" style="13" customWidth="1"/>
    <col min="14" max="14" width="12.6640625" style="30" customWidth="1"/>
    <col min="15" max="15" width="13.5546875" style="30" customWidth="1"/>
    <col min="16" max="16" width="14" style="30" customWidth="1"/>
    <col min="17" max="20" width="15.6640625" style="30" customWidth="1"/>
    <col min="21" max="21" width="19.88671875" style="30" customWidth="1"/>
    <col min="22" max="25" width="15.6640625" style="13" customWidth="1"/>
    <col min="26" max="27" width="17.5546875" style="13" customWidth="1"/>
    <col min="28" max="30" width="15.6640625" style="13" customWidth="1"/>
    <col min="31" max="31" width="17.6640625" style="13" customWidth="1"/>
    <col min="32" max="34" width="15.6640625" style="13" customWidth="1"/>
    <col min="35" max="36" width="17.33203125" style="13" customWidth="1"/>
    <col min="37" max="40" width="15.6640625" style="13" customWidth="1"/>
    <col min="41" max="41" width="17" style="13" customWidth="1"/>
    <col min="42" max="45" width="15.6640625" style="13" customWidth="1"/>
    <col min="46" max="46" width="17.88671875" style="13" customWidth="1"/>
    <col min="47" max="50" width="15.6640625" style="13" customWidth="1"/>
    <col min="51" max="51" width="17.6640625" style="13" customWidth="1"/>
    <col min="52" max="55" width="15.6640625" style="13" customWidth="1"/>
    <col min="56" max="56" width="17.6640625" style="13" customWidth="1"/>
    <col min="57" max="65" width="15.6640625" style="13" customWidth="1"/>
    <col min="66" max="66" width="17.33203125" style="13" customWidth="1"/>
    <col min="67" max="70" width="15.6640625" style="13" customWidth="1"/>
    <col min="71" max="71" width="18.5546875" style="13" customWidth="1"/>
    <col min="72" max="80" width="15.6640625" style="13" customWidth="1"/>
    <col min="81" max="81" width="18.109375" style="13" customWidth="1"/>
    <col min="82" max="90" width="15.6640625" style="13" customWidth="1"/>
    <col min="91" max="91" width="18.109375" style="13" customWidth="1"/>
    <col min="92" max="98" width="15.6640625" style="13" customWidth="1"/>
    <col min="99" max="99" width="16.33203125" style="13" customWidth="1"/>
    <col min="100" max="101" width="15.6640625" style="13" customWidth="1"/>
    <col min="102" max="102" width="19.6640625" style="13" customWidth="1"/>
    <col min="103" max="103" width="9.109375" style="13"/>
    <col min="104" max="104" width="18.44140625" style="13" customWidth="1"/>
    <col min="105" max="16384" width="9.109375" style="13"/>
  </cols>
  <sheetData>
    <row r="2" spans="3:102" hidden="1">
      <c r="C2" s="32" t="s">
        <v>248</v>
      </c>
      <c r="D2" s="31">
        <v>8</v>
      </c>
    </row>
    <row r="4" spans="3:102">
      <c r="L4" s="30"/>
    </row>
    <row r="5" spans="3:102" s="60" customFormat="1" ht="28.8">
      <c r="C5" s="58" t="s">
        <v>242</v>
      </c>
      <c r="D5" s="59" t="s">
        <v>346</v>
      </c>
      <c r="E5" s="59" t="s">
        <v>416</v>
      </c>
      <c r="F5" s="58" t="s">
        <v>243</v>
      </c>
      <c r="G5" s="55" t="s">
        <v>52</v>
      </c>
      <c r="H5" s="55" t="s">
        <v>53</v>
      </c>
      <c r="I5" s="55" t="s">
        <v>343</v>
      </c>
      <c r="J5" s="55" t="s">
        <v>344</v>
      </c>
      <c r="K5" s="55" t="s">
        <v>345</v>
      </c>
      <c r="L5" s="55" t="s">
        <v>245</v>
      </c>
      <c r="M5" s="55" t="s">
        <v>244</v>
      </c>
      <c r="N5" s="55" t="s">
        <v>247</v>
      </c>
      <c r="O5" s="58" t="s">
        <v>249</v>
      </c>
      <c r="P5" s="58" t="s">
        <v>263</v>
      </c>
      <c r="Q5" s="55" t="s">
        <v>388</v>
      </c>
      <c r="R5" s="55" t="s">
        <v>246</v>
      </c>
      <c r="S5" s="55" t="s">
        <v>250</v>
      </c>
      <c r="T5" s="55" t="s">
        <v>251</v>
      </c>
      <c r="U5" s="55" t="s">
        <v>252</v>
      </c>
      <c r="V5" s="55" t="s">
        <v>253</v>
      </c>
      <c r="W5" s="55" t="s">
        <v>254</v>
      </c>
      <c r="X5" s="55" t="s">
        <v>255</v>
      </c>
      <c r="Y5" s="55" t="s">
        <v>256</v>
      </c>
      <c r="Z5" s="55" t="s">
        <v>257</v>
      </c>
      <c r="AA5" s="55" t="s">
        <v>258</v>
      </c>
      <c r="AB5" s="55" t="s">
        <v>259</v>
      </c>
      <c r="AC5" s="55" t="s">
        <v>260</v>
      </c>
      <c r="AD5" s="55" t="s">
        <v>261</v>
      </c>
      <c r="AE5" s="55" t="s">
        <v>262</v>
      </c>
      <c r="AF5" s="55" t="s">
        <v>264</v>
      </c>
      <c r="AG5" s="55" t="s">
        <v>265</v>
      </c>
      <c r="AH5" s="55" t="s">
        <v>266</v>
      </c>
      <c r="AI5" s="55" t="s">
        <v>267</v>
      </c>
      <c r="AJ5" s="55" t="s">
        <v>268</v>
      </c>
      <c r="AK5" s="55" t="s">
        <v>269</v>
      </c>
      <c r="AL5" s="55" t="s">
        <v>270</v>
      </c>
      <c r="AM5" s="55" t="s">
        <v>271</v>
      </c>
      <c r="AN5" s="55" t="s">
        <v>272</v>
      </c>
      <c r="AO5" s="55" t="s">
        <v>273</v>
      </c>
      <c r="AP5" s="55" t="s">
        <v>274</v>
      </c>
      <c r="AQ5" s="55" t="s">
        <v>275</v>
      </c>
      <c r="AR5" s="55" t="s">
        <v>276</v>
      </c>
      <c r="AS5" s="55" t="s">
        <v>277</v>
      </c>
      <c r="AT5" s="55" t="s">
        <v>278</v>
      </c>
      <c r="AU5" s="55" t="s">
        <v>279</v>
      </c>
      <c r="AV5" s="55" t="s">
        <v>280</v>
      </c>
      <c r="AW5" s="55" t="s">
        <v>281</v>
      </c>
      <c r="AX5" s="55" t="s">
        <v>282</v>
      </c>
      <c r="AY5" s="55" t="s">
        <v>283</v>
      </c>
      <c r="AZ5" s="55" t="s">
        <v>284</v>
      </c>
      <c r="BA5" s="55" t="s">
        <v>285</v>
      </c>
      <c r="BB5" s="55" t="s">
        <v>286</v>
      </c>
      <c r="BC5" s="55" t="s">
        <v>287</v>
      </c>
      <c r="BD5" s="55" t="s">
        <v>288</v>
      </c>
      <c r="BE5" s="55" t="s">
        <v>289</v>
      </c>
      <c r="BF5" s="55" t="s">
        <v>290</v>
      </c>
      <c r="BG5" s="55" t="s">
        <v>291</v>
      </c>
      <c r="BH5" s="55" t="s">
        <v>292</v>
      </c>
      <c r="BI5" s="55" t="s">
        <v>293</v>
      </c>
      <c r="BJ5" s="55" t="s">
        <v>294</v>
      </c>
      <c r="BK5" s="55" t="s">
        <v>295</v>
      </c>
      <c r="BL5" s="55" t="s">
        <v>296</v>
      </c>
      <c r="BM5" s="55" t="s">
        <v>297</v>
      </c>
      <c r="BN5" s="55" t="s">
        <v>298</v>
      </c>
      <c r="BO5" s="55" t="s">
        <v>299</v>
      </c>
      <c r="BP5" s="55" t="s">
        <v>300</v>
      </c>
      <c r="BQ5" s="55" t="s">
        <v>301</v>
      </c>
      <c r="BR5" s="55" t="s">
        <v>302</v>
      </c>
      <c r="BS5" s="55" t="s">
        <v>303</v>
      </c>
      <c r="BT5" s="55" t="s">
        <v>304</v>
      </c>
      <c r="BU5" s="55" t="s">
        <v>305</v>
      </c>
      <c r="BV5" s="55" t="s">
        <v>306</v>
      </c>
      <c r="BW5" s="55" t="s">
        <v>307</v>
      </c>
      <c r="BX5" s="55" t="s">
        <v>308</v>
      </c>
      <c r="BY5" s="55" t="s">
        <v>309</v>
      </c>
      <c r="BZ5" s="55" t="s">
        <v>310</v>
      </c>
      <c r="CA5" s="55" t="s">
        <v>311</v>
      </c>
      <c r="CB5" s="55" t="s">
        <v>312</v>
      </c>
      <c r="CC5" s="55" t="s">
        <v>313</v>
      </c>
      <c r="CD5" s="55" t="s">
        <v>314</v>
      </c>
      <c r="CE5" s="55" t="s">
        <v>315</v>
      </c>
      <c r="CF5" s="55" t="s">
        <v>383</v>
      </c>
      <c r="CG5" s="55" t="s">
        <v>384</v>
      </c>
      <c r="CH5" s="55" t="s">
        <v>385</v>
      </c>
      <c r="CI5" s="55" t="s">
        <v>386</v>
      </c>
      <c r="CJ5" s="55" t="s">
        <v>387</v>
      </c>
      <c r="CK5" s="55" t="s">
        <v>389</v>
      </c>
      <c r="CL5" s="55" t="s">
        <v>390</v>
      </c>
      <c r="CM5" s="55" t="s">
        <v>391</v>
      </c>
      <c r="CN5" s="55" t="s">
        <v>392</v>
      </c>
      <c r="CO5" s="55" t="s">
        <v>393</v>
      </c>
      <c r="CP5" s="55" t="s">
        <v>407</v>
      </c>
      <c r="CQ5" s="55" t="s">
        <v>408</v>
      </c>
      <c r="CR5" s="55" t="s">
        <v>409</v>
      </c>
      <c r="CS5" s="55" t="s">
        <v>410</v>
      </c>
      <c r="CT5" s="55" t="s">
        <v>411</v>
      </c>
      <c r="CU5" s="55" t="s">
        <v>412</v>
      </c>
      <c r="CV5" s="55" t="s">
        <v>413</v>
      </c>
      <c r="CW5" s="55" t="s">
        <v>414</v>
      </c>
      <c r="CX5" s="55" t="s">
        <v>431</v>
      </c>
    </row>
    <row r="6" spans="3:102" ht="28.8">
      <c r="C6" s="61" t="s">
        <v>348</v>
      </c>
      <c r="D6" s="31" t="s">
        <v>349</v>
      </c>
      <c r="E6" s="62">
        <v>1</v>
      </c>
      <c r="F6" s="32" t="str">
        <f>IF(D6="","",VLOOKUP(D6,Preços!B:C,2,FALSE))</f>
        <v>PROJETO EXECUTIVO DO SISTEMA DE PROTEÇÃO E COMABTE A INCENDIO</v>
      </c>
      <c r="G6" s="22">
        <v>0</v>
      </c>
      <c r="H6" s="36">
        <f>Preços!I12</f>
        <v>18821</v>
      </c>
      <c r="I6" s="20">
        <f>H6*BDI_SERVIÇOS_MATERIAIS!$E$11</f>
        <v>5486.8545063858637</v>
      </c>
      <c r="J6" s="19">
        <v>0</v>
      </c>
      <c r="K6" s="20">
        <f>G6+H6+I6+J6</f>
        <v>24307.854506385862</v>
      </c>
      <c r="L6" s="19">
        <v>200</v>
      </c>
      <c r="M6" s="63">
        <v>1</v>
      </c>
      <c r="N6" s="22">
        <f>ROUNDUP((L6/M6)/$D$2,0)</f>
        <v>25</v>
      </c>
      <c r="O6" s="22">
        <f>ROUNDUP(N6/5,1)</f>
        <v>5</v>
      </c>
      <c r="P6" s="22">
        <f>O6</f>
        <v>5</v>
      </c>
      <c r="Q6" s="64"/>
      <c r="R6" s="64"/>
      <c r="S6" s="64"/>
      <c r="T6" s="64"/>
      <c r="U6" s="65">
        <f>K6</f>
        <v>24307.854506385862</v>
      </c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</row>
    <row r="7" spans="3:102" ht="86.4">
      <c r="C7" s="32" t="s">
        <v>376</v>
      </c>
      <c r="D7" s="31" t="s">
        <v>57</v>
      </c>
      <c r="E7" s="62">
        <v>2</v>
      </c>
      <c r="F7" s="32" t="str">
        <f>IF(D7="","",VLOOKUP(D7,Preços!B:C,2,FALSE))</f>
        <v>TUBO DE AÇO GALVANIZADO COM COSTURA, CLASSE MÉDIA, DN 65 (2 1/2"), CONEXÃO ROSQUEADA, INSTALADO EM REDE DE ALIMENTAÇÃO PARA HIDRANTE - FORNECIMENTO E INSTALAÇÃO. AF_10/2020</v>
      </c>
      <c r="G7" s="20">
        <f>IF(D7="","",VLOOKUP(D7,Preços!B:M,9,FALSE))</f>
        <v>14764.098048499998</v>
      </c>
      <c r="H7" s="20">
        <f>IF(D7="","",VLOOKUP(D7,Preços!B:M,8,FALSE))</f>
        <v>1553.6905299999999</v>
      </c>
      <c r="I7" s="20">
        <f>H7*BDI_SERVIÇOS_MATERIAIS!$E$11</f>
        <v>452.94478965302267</v>
      </c>
      <c r="J7" s="20">
        <f>BDI_SERVIÇOS_MATERIAIS!$E$11*G7</f>
        <v>4304.152696994578</v>
      </c>
      <c r="K7" s="20">
        <f t="shared" ref="K7:K161" si="0">G7+H7+I7+J7</f>
        <v>21074.886065147599</v>
      </c>
      <c r="L7" s="33">
        <v>28.75</v>
      </c>
      <c r="M7" s="22">
        <v>1</v>
      </c>
      <c r="N7" s="22">
        <f>ROUNDUP((L7/M7)/$D$2,0)</f>
        <v>4</v>
      </c>
      <c r="O7" s="22">
        <f t="shared" ref="O7:O161" si="1">ROUNDUP(N7/5,1)</f>
        <v>0.8</v>
      </c>
      <c r="P7" s="22">
        <f>P6+O7</f>
        <v>5.8</v>
      </c>
      <c r="Q7" s="22"/>
      <c r="R7" s="22"/>
      <c r="S7" s="22"/>
      <c r="T7" s="22"/>
      <c r="U7" s="22"/>
      <c r="V7" s="21">
        <f>K7</f>
        <v>21074.886065147599</v>
      </c>
      <c r="W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19"/>
      <c r="CN7" s="19"/>
      <c r="CO7" s="29"/>
      <c r="CP7" s="29"/>
      <c r="CQ7" s="29"/>
      <c r="CR7" s="29"/>
      <c r="CS7" s="29"/>
      <c r="CT7" s="29"/>
      <c r="CU7" s="29"/>
      <c r="CV7" s="29"/>
      <c r="CW7" s="29"/>
      <c r="CX7" s="29"/>
    </row>
    <row r="8" spans="3:102" ht="86.4">
      <c r="C8" s="32" t="s">
        <v>376</v>
      </c>
      <c r="D8" s="31" t="s">
        <v>58</v>
      </c>
      <c r="E8" s="62">
        <v>3</v>
      </c>
      <c r="F8" s="32" t="str">
        <f>IF(D8="","",VLOOKUP(D8,Preços!B:C,2,FALSE))</f>
        <v>TUBO DE AÇO GALVANIZADO COM COSTURA, CLASSE MÉDIA, CONEXÃO ROSQUEADA, DN 100 (4"), INSTALADO EM REDE  DE ALIMENTAÇÃO PARA HIDRANTE - FORNECIMENTO E INSTALAÇÃO. AF_10/2020</v>
      </c>
      <c r="G8" s="20">
        <f>IF(D8="","",VLOOKUP(D8,Preços!B:M,9,FALSE))</f>
        <v>123068.38216399998</v>
      </c>
      <c r="H8" s="20">
        <f>IF(D8="","",VLOOKUP(D8,Preços!B:M,8,FALSE))</f>
        <v>23958.742079999996</v>
      </c>
      <c r="I8" s="20">
        <f>H8*BDI_SERVIÇOS_MATERIAIS!$E$11</f>
        <v>6984.6518223784387</v>
      </c>
      <c r="J8" s="20">
        <f>BDI_SERVIÇOS_MATERIAIS!$E$11*G8</f>
        <v>35877.918669048449</v>
      </c>
      <c r="K8" s="20">
        <f>G8+H8+I8+J8</f>
        <v>189889.69473542686</v>
      </c>
      <c r="L8" s="33">
        <v>211.12</v>
      </c>
      <c r="M8" s="22">
        <v>1</v>
      </c>
      <c r="N8" s="22">
        <f>ROUNDUP((L8/M8)/$D$2,0)</f>
        <v>27</v>
      </c>
      <c r="O8" s="33">
        <f t="shared" si="1"/>
        <v>5.4</v>
      </c>
      <c r="P8" s="33">
        <f>O8+P7</f>
        <v>11.2</v>
      </c>
      <c r="Q8" s="33"/>
      <c r="R8" s="33"/>
      <c r="S8" s="33"/>
      <c r="T8" s="33"/>
      <c r="U8" s="33"/>
      <c r="V8" s="66"/>
      <c r="W8" s="66"/>
      <c r="X8" s="21"/>
      <c r="Y8" s="21"/>
      <c r="Z8" s="66"/>
      <c r="AA8" s="66"/>
      <c r="AB8" s="21">
        <f>K8</f>
        <v>189889.69473542686</v>
      </c>
      <c r="AC8" s="29"/>
      <c r="AD8" s="20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19"/>
      <c r="CN8" s="19"/>
      <c r="CO8" s="29"/>
      <c r="CP8" s="29"/>
      <c r="CQ8" s="29"/>
      <c r="CR8" s="29"/>
      <c r="CS8" s="29"/>
      <c r="CT8" s="29"/>
      <c r="CU8" s="29"/>
      <c r="CV8" s="29"/>
      <c r="CW8" s="29"/>
      <c r="CX8" s="29"/>
    </row>
    <row r="9" spans="3:102" ht="86.4">
      <c r="C9" s="32" t="s">
        <v>376</v>
      </c>
      <c r="D9" s="31" t="s">
        <v>59</v>
      </c>
      <c r="E9" s="62">
        <v>4</v>
      </c>
      <c r="F9" s="32" t="str">
        <f>IF(D9="","",VLOOKUP(D9,Preços!B:C,2,FALSE))</f>
        <v>JOELHO 90 GRAUS, EM FERRO GALVANIZADO, DN 65 (2 1/2"), CONEXÃO ROSQUEADA, INSTALADO EM REDE DE ALIMENTAÇÃO PARA HIDRANTE - FORNECIMENTO E INSTALAÇÃO. AF_10/2020</v>
      </c>
      <c r="G9" s="20">
        <f>IF(D9="","",VLOOKUP(D9,Preços!B:M,9,FALSE))</f>
        <v>1339.92768</v>
      </c>
      <c r="H9" s="20">
        <f>IF(D9="","",VLOOKUP(D9,Preços!B:M,8,FALSE))</f>
        <v>718.73199999999997</v>
      </c>
      <c r="I9" s="20">
        <f>H9*BDI_SERVIÇOS_MATERIAIS!$E$11</f>
        <v>209.53073232472897</v>
      </c>
      <c r="J9" s="20">
        <f>BDI_SERVIÇOS_MATERIAIS!$E$11*G9</f>
        <v>390.62686516333645</v>
      </c>
      <c r="K9" s="20">
        <f t="shared" si="0"/>
        <v>2658.817277488065</v>
      </c>
      <c r="L9" s="33">
        <f>LARGE(Preços!G58:G59,1)</f>
        <v>13.299999999999999</v>
      </c>
      <c r="M9" s="22">
        <v>1</v>
      </c>
      <c r="N9" s="22">
        <f t="shared" ref="N9:N161" si="2">ROUNDUP((L9/M9)/$D$2,0)</f>
        <v>2</v>
      </c>
      <c r="O9" s="22">
        <f t="shared" si="1"/>
        <v>0.4</v>
      </c>
      <c r="P9" s="33">
        <f t="shared" ref="P9:P166" si="3">O9+P8</f>
        <v>11.6</v>
      </c>
      <c r="Q9" s="33"/>
      <c r="R9" s="33"/>
      <c r="S9" s="33"/>
      <c r="T9" s="33"/>
      <c r="U9" s="33"/>
      <c r="V9" s="29"/>
      <c r="W9" s="29"/>
      <c r="X9" s="29"/>
      <c r="Y9" s="29"/>
      <c r="Z9" s="29"/>
      <c r="AA9" s="29"/>
      <c r="AB9" s="21">
        <f>K9</f>
        <v>2658.817277488065</v>
      </c>
      <c r="AC9" s="20"/>
      <c r="AD9" s="20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19"/>
      <c r="CN9" s="19"/>
      <c r="CO9" s="29"/>
      <c r="CP9" s="29"/>
      <c r="CQ9" s="29"/>
      <c r="CR9" s="29"/>
      <c r="CS9" s="29"/>
      <c r="CT9" s="29"/>
      <c r="CU9" s="29"/>
      <c r="CV9" s="29"/>
      <c r="CW9" s="29"/>
      <c r="CX9" s="29"/>
    </row>
    <row r="10" spans="3:102" ht="28.8">
      <c r="C10" s="32" t="s">
        <v>376</v>
      </c>
      <c r="D10" s="31" t="s">
        <v>60</v>
      </c>
      <c r="E10" s="62">
        <v>5</v>
      </c>
      <c r="F10" s="32" t="str">
        <f>IF(D10="","",VLOOKUP(D10,Preços!B:C,2,FALSE))</f>
        <v>COTOVELO DE AÇO GALVANIZADO 4" - FORNECIMENTO E INSTALAÇÃO</v>
      </c>
      <c r="G10" s="20">
        <f>IF(D10="","",VLOOKUP(D10,Preços!B:M,9,FALSE))</f>
        <v>9192.9600000000009</v>
      </c>
      <c r="H10" s="20">
        <f>IF(D10="","",VLOOKUP(D10,Preços!B:M,8,FALSE))</f>
        <v>1770.8759999999997</v>
      </c>
      <c r="I10" s="20">
        <f>H10*BDI_SERVIÇOS_MATERIAIS!$E$11</f>
        <v>516.26050480051913</v>
      </c>
      <c r="J10" s="20">
        <f>BDI_SERVIÇOS_MATERIAIS!$E$11*G10</f>
        <v>2680.0081825102275</v>
      </c>
      <c r="K10" s="20">
        <f t="shared" si="0"/>
        <v>14160.104687310748</v>
      </c>
      <c r="L10" s="33">
        <v>34.200000000000003</v>
      </c>
      <c r="M10" s="22">
        <v>1</v>
      </c>
      <c r="N10" s="22">
        <f>ROUNDUP((L10/M10)/$D$2,0)</f>
        <v>5</v>
      </c>
      <c r="O10" s="22">
        <f t="shared" si="1"/>
        <v>1</v>
      </c>
      <c r="P10" s="33">
        <f t="shared" si="3"/>
        <v>12.6</v>
      </c>
      <c r="Q10" s="33"/>
      <c r="R10" s="33"/>
      <c r="S10" s="33"/>
      <c r="T10" s="33"/>
      <c r="U10" s="33"/>
      <c r="V10" s="29"/>
      <c r="W10" s="29"/>
      <c r="X10" s="29"/>
      <c r="Y10" s="29"/>
      <c r="Z10" s="29"/>
      <c r="AA10" s="29"/>
      <c r="AB10" s="29"/>
      <c r="AC10" s="21">
        <f>K10</f>
        <v>14160.104687310748</v>
      </c>
      <c r="AD10" s="29"/>
      <c r="AE10" s="20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19"/>
      <c r="CN10" s="19"/>
      <c r="CO10" s="29"/>
      <c r="CP10" s="29"/>
      <c r="CQ10" s="29"/>
      <c r="CR10" s="29"/>
      <c r="CS10" s="29"/>
      <c r="CT10" s="29"/>
      <c r="CU10" s="29"/>
      <c r="CV10" s="29"/>
      <c r="CW10" s="29"/>
      <c r="CX10" s="29"/>
    </row>
    <row r="11" spans="3:102" ht="43.2">
      <c r="C11" s="32" t="s">
        <v>376</v>
      </c>
      <c r="D11" s="31" t="s">
        <v>61</v>
      </c>
      <c r="E11" s="62">
        <v>6</v>
      </c>
      <c r="F11" s="32" t="str">
        <f>IF(D11="","",VLOOKUP(D11,Preços!B:C,2,FALSE))</f>
        <v>LUVA REDUCAO ACO GALVANIZADO 4X2.1/2" - FORNECIMENTO E INSTALACAO</v>
      </c>
      <c r="G11" s="20">
        <f>IF(D11="","",VLOOKUP(D11,Preços!B:M,9,FALSE))</f>
        <v>2469.3292000000001</v>
      </c>
      <c r="H11" s="20">
        <f>IF(D11="","",VLOOKUP(D11,Preços!B:M,8,FALSE))</f>
        <v>673.14</v>
      </c>
      <c r="I11" s="20">
        <f>H11*BDI_SERVIÇOS_MATERIAIS!$E$11</f>
        <v>196.239373169788</v>
      </c>
      <c r="J11" s="20">
        <f>BDI_SERVIÇOS_MATERIAIS!$E$11*G11</f>
        <v>719.87939263430212</v>
      </c>
      <c r="K11" s="20">
        <f t="shared" si="0"/>
        <v>4058.5879658040903</v>
      </c>
      <c r="L11" s="33">
        <v>13</v>
      </c>
      <c r="M11" s="22">
        <v>1</v>
      </c>
      <c r="N11" s="22">
        <f t="shared" si="2"/>
        <v>2</v>
      </c>
      <c r="O11" s="22">
        <f t="shared" si="1"/>
        <v>0.4</v>
      </c>
      <c r="P11" s="33">
        <f t="shared" si="3"/>
        <v>13</v>
      </c>
      <c r="Q11" s="33"/>
      <c r="R11" s="33"/>
      <c r="S11" s="33"/>
      <c r="T11" s="33"/>
      <c r="U11" s="33"/>
      <c r="V11" s="29"/>
      <c r="W11" s="29"/>
      <c r="X11" s="29"/>
      <c r="Y11" s="29"/>
      <c r="Z11" s="29"/>
      <c r="AA11" s="29"/>
      <c r="AB11" s="29"/>
      <c r="AC11" s="21">
        <f>K11</f>
        <v>4058.5879658040903</v>
      </c>
      <c r="AD11" s="29"/>
      <c r="AE11" s="20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19"/>
      <c r="CN11" s="19"/>
      <c r="CO11" s="29"/>
      <c r="CP11" s="29"/>
      <c r="CQ11" s="29"/>
      <c r="CR11" s="29"/>
      <c r="CS11" s="29"/>
      <c r="CT11" s="29"/>
      <c r="CU11" s="29"/>
      <c r="CV11" s="29"/>
      <c r="CW11" s="29"/>
      <c r="CX11" s="29"/>
    </row>
    <row r="12" spans="3:102" ht="72">
      <c r="C12" s="67" t="s">
        <v>376</v>
      </c>
      <c r="D12" s="68" t="s">
        <v>62</v>
      </c>
      <c r="E12" s="62">
        <v>7</v>
      </c>
      <c r="F12" s="67" t="str">
        <f>IF(D12="","",VLOOKUP(D12,Preços!B:C,2,FALSE))</f>
        <v>TÊ, EM FERRO GALVANIZADO, CONEXÃO ROSQUEADA, DN 65 (2 1/2"), INSTALADO EM REDE DE ALIMENTAÇÃO PARA HIDRANTE - FORNECIMENTO E INSTALAÇÃO. AF_10/2020</v>
      </c>
      <c r="G12" s="27">
        <f>IF(D12="","",VLOOKUP(D12,Preços!B:M,9,FALSE))</f>
        <v>398.53037999999998</v>
      </c>
      <c r="H12" s="27">
        <f>IF(D12="","",VLOOKUP(D12,Preços!B:M,8,FALSE))</f>
        <v>238.47852</v>
      </c>
      <c r="I12" s="20">
        <f>H12*BDI_SERVIÇOS_MATERIAIS!$E$11</f>
        <v>69.523242236769107</v>
      </c>
      <c r="J12" s="20">
        <f>BDI_SERVIÇOS_MATERIAIS!$E$11*G12</f>
        <v>116.18289205858724</v>
      </c>
      <c r="K12" s="28">
        <f t="shared" si="0"/>
        <v>822.71503429535642</v>
      </c>
      <c r="L12" s="69">
        <v>4.4000000000000004</v>
      </c>
      <c r="M12" s="70">
        <v>1</v>
      </c>
      <c r="N12" s="70">
        <f>ROUNDUP((L12/M12)/$D$2,0)</f>
        <v>1</v>
      </c>
      <c r="O12" s="70">
        <f t="shared" si="1"/>
        <v>0.2</v>
      </c>
      <c r="P12" s="69">
        <f t="shared" si="3"/>
        <v>13.2</v>
      </c>
      <c r="Q12" s="33"/>
      <c r="R12" s="33"/>
      <c r="S12" s="33"/>
      <c r="T12" s="33"/>
      <c r="U12" s="33"/>
      <c r="V12" s="29"/>
      <c r="W12" s="29"/>
      <c r="X12" s="29"/>
      <c r="Y12" s="29"/>
      <c r="Z12" s="29"/>
      <c r="AA12" s="29"/>
      <c r="AB12" s="29"/>
      <c r="AC12" s="29"/>
      <c r="AD12" s="21">
        <f>K12</f>
        <v>822.71503429535642</v>
      </c>
      <c r="AE12" s="29"/>
      <c r="AF12" s="20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19"/>
      <c r="CN12" s="19"/>
      <c r="CO12" s="29"/>
      <c r="CP12" s="29"/>
      <c r="CQ12" s="29"/>
      <c r="CR12" s="29"/>
      <c r="CS12" s="29"/>
      <c r="CT12" s="29"/>
      <c r="CU12" s="29"/>
      <c r="CV12" s="29"/>
      <c r="CW12" s="29"/>
      <c r="CX12" s="29"/>
    </row>
    <row r="13" spans="3:102" ht="28.8">
      <c r="C13" s="32" t="s">
        <v>376</v>
      </c>
      <c r="D13" s="31" t="s">
        <v>72</v>
      </c>
      <c r="E13" s="62">
        <v>8</v>
      </c>
      <c r="F13" s="32" t="str">
        <f>IF(D13="","",VLOOKUP(D13,Preços!B:C,2,FALSE))</f>
        <v>TE DE ACO GALVANIZADO 4" - FORNECIMENTO E INSTALACAO</v>
      </c>
      <c r="G13" s="20">
        <f>IF(D13="","",VLOOKUP(D13,Preços!B:M,9,FALSE))</f>
        <v>4565.2599999999993</v>
      </c>
      <c r="H13" s="20">
        <f>IF(D13="","",VLOOKUP(D13,Preços!B:M,8,FALSE))</f>
        <v>797.41200000000003</v>
      </c>
      <c r="I13" s="20">
        <f>H13*BDI_SERVIÇOS_MATERIAIS!$E$11</f>
        <v>232.46818052421042</v>
      </c>
      <c r="J13" s="20">
        <f>BDI_SERVIÇOS_MATERIAIS!$E$11*G13</f>
        <v>1330.9025771119027</v>
      </c>
      <c r="K13" s="20">
        <f t="shared" si="0"/>
        <v>6926.0427576361126</v>
      </c>
      <c r="L13" s="33">
        <v>15.4</v>
      </c>
      <c r="M13" s="22">
        <v>1</v>
      </c>
      <c r="N13" s="22">
        <f>ROUNDUP((L13/M13)/$D$2,0)</f>
        <v>2</v>
      </c>
      <c r="O13" s="22">
        <f t="shared" si="1"/>
        <v>0.4</v>
      </c>
      <c r="P13" s="33">
        <f t="shared" si="3"/>
        <v>13.6</v>
      </c>
      <c r="Q13" s="33"/>
      <c r="R13" s="33"/>
      <c r="S13" s="33"/>
      <c r="T13" s="33"/>
      <c r="U13" s="33"/>
      <c r="V13" s="29"/>
      <c r="W13" s="29"/>
      <c r="X13" s="29"/>
      <c r="Y13" s="29"/>
      <c r="Z13" s="29"/>
      <c r="AA13" s="29"/>
      <c r="AB13" s="29"/>
      <c r="AC13" s="29"/>
      <c r="AD13" s="21">
        <f>K13</f>
        <v>6926.0427576361126</v>
      </c>
      <c r="AF13" s="20"/>
      <c r="AG13" s="20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19"/>
      <c r="CN13" s="19"/>
      <c r="CO13" s="29"/>
      <c r="CP13" s="29"/>
      <c r="CQ13" s="29"/>
      <c r="CR13" s="29"/>
      <c r="CS13" s="29"/>
      <c r="CT13" s="29"/>
      <c r="CU13" s="29"/>
      <c r="CV13" s="29"/>
      <c r="CW13" s="29"/>
      <c r="CX13" s="29"/>
    </row>
    <row r="14" spans="3:102" ht="43.2">
      <c r="C14" s="32" t="s">
        <v>376</v>
      </c>
      <c r="D14" s="31" t="s">
        <v>54</v>
      </c>
      <c r="E14" s="62">
        <v>9</v>
      </c>
      <c r="F14" s="32" t="str">
        <f>IF(D14="","",VLOOKUP(D14,Preços!B:C,2,FALSE))</f>
        <v>ABRIGO DE HIDRANTE DUPLO SOBREPOR 120X90X30 -FORNECIMENTO E INSTALAÇÃO</v>
      </c>
      <c r="G14" s="20">
        <f>IF(D14="","",VLOOKUP(D14,Preços!B:M,9,FALSE))</f>
        <v>40104.449999999997</v>
      </c>
      <c r="H14" s="20">
        <f>IF(D14="","",VLOOKUP(D14,Preços!B:M,8,FALSE))</f>
        <v>2044.32618</v>
      </c>
      <c r="I14" s="20">
        <f>H14*BDI_SERVIÇOS_MATERIAIS!$E$11</f>
        <v>595.97897631664614</v>
      </c>
      <c r="J14" s="20">
        <f>BDI_SERVIÇOS_MATERIAIS!$E$11*G14</f>
        <v>11691.582923788668</v>
      </c>
      <c r="K14" s="20">
        <f>G14+H14+I14+J14</f>
        <v>54436.338080105314</v>
      </c>
      <c r="L14" s="33">
        <v>39.5</v>
      </c>
      <c r="M14" s="22">
        <v>1</v>
      </c>
      <c r="N14" s="22">
        <f>ROUNDUP((L14/M14)/$D$2,0)</f>
        <v>5</v>
      </c>
      <c r="O14" s="22">
        <f>ROUNDUP(N14/5,1)</f>
        <v>1</v>
      </c>
      <c r="P14" s="22">
        <f>O14+P13</f>
        <v>14.6</v>
      </c>
      <c r="Q14" s="22"/>
      <c r="R14" s="22"/>
      <c r="S14" s="22"/>
      <c r="T14" s="22"/>
      <c r="U14" s="22"/>
      <c r="W14" s="29"/>
      <c r="X14" s="29"/>
      <c r="Y14" s="29"/>
      <c r="Z14" s="29"/>
      <c r="AA14" s="29"/>
      <c r="AB14" s="29"/>
      <c r="AC14" s="29"/>
      <c r="AD14" s="29"/>
      <c r="AE14" s="21">
        <f>K14</f>
        <v>54436.338080105314</v>
      </c>
      <c r="AF14" s="20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19"/>
      <c r="CN14" s="19"/>
      <c r="CO14" s="29"/>
      <c r="CP14" s="29"/>
      <c r="CQ14" s="29"/>
      <c r="CR14" s="29"/>
      <c r="CS14" s="29"/>
      <c r="CT14" s="29"/>
      <c r="CU14" s="29"/>
      <c r="CV14" s="29"/>
      <c r="CW14" s="29"/>
      <c r="CX14" s="29"/>
    </row>
    <row r="15" spans="3:102" ht="43.2">
      <c r="C15" s="32" t="s">
        <v>376</v>
      </c>
      <c r="D15" s="31" t="s">
        <v>55</v>
      </c>
      <c r="E15" s="62">
        <v>10</v>
      </c>
      <c r="F15" s="32" t="str">
        <f>IF(D15="","",VLOOKUP(D15,Preços!B:C,2,FALSE))</f>
        <v>ABRIGO DE HIDRANTE SOBREPOR 90X60X17 -FORNECIMENTO E INSTALAÇÃO</v>
      </c>
      <c r="G15" s="20">
        <f>IF(D15="","",VLOOKUP(D15,Preços!B:M,9,FALSE))</f>
        <v>8967.9</v>
      </c>
      <c r="H15" s="20">
        <f>IF(D15="","",VLOOKUP(D15,Preços!B:M,8,FALSE))</f>
        <v>242.51999999999998</v>
      </c>
      <c r="I15" s="20">
        <f>H15*BDI_SERVIÇOS_MATERIAIS!$E$11</f>
        <v>70.701448110552022</v>
      </c>
      <c r="J15" s="20">
        <f>BDI_SERVIÇOS_MATERIAIS!$E$11*G15</f>
        <v>2614.3968188628542</v>
      </c>
      <c r="K15" s="20">
        <f t="shared" ref="K15:K16" si="4">G15+H15+I15+J15</f>
        <v>11895.518266973406</v>
      </c>
      <c r="L15" s="33">
        <v>6</v>
      </c>
      <c r="M15" s="22">
        <v>1</v>
      </c>
      <c r="N15" s="22">
        <f t="shared" ref="N15:N16" si="5">ROUNDUP((L15/M15)/$D$2,0)</f>
        <v>1</v>
      </c>
      <c r="O15" s="22">
        <f t="shared" ref="O15:O16" si="6">ROUNDUP(N15/5,1)</f>
        <v>0.2</v>
      </c>
      <c r="P15" s="22">
        <f>O15+P14</f>
        <v>14.799999999999999</v>
      </c>
      <c r="Q15" s="22"/>
      <c r="R15" s="22"/>
      <c r="S15" s="22"/>
      <c r="T15" s="22"/>
      <c r="U15" s="22"/>
      <c r="V15" s="29"/>
      <c r="W15" s="29"/>
      <c r="X15" s="29"/>
      <c r="Y15" s="29"/>
      <c r="Z15" s="29"/>
      <c r="AA15" s="29"/>
      <c r="AB15" s="29"/>
      <c r="AC15" s="29"/>
      <c r="AD15" s="29"/>
      <c r="AE15" s="21">
        <f>K15</f>
        <v>11895.518266973406</v>
      </c>
      <c r="AF15" s="29"/>
      <c r="AG15" s="20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19"/>
      <c r="CN15" s="19"/>
      <c r="CO15" s="29"/>
      <c r="CP15" s="29"/>
      <c r="CQ15" s="29"/>
      <c r="CR15" s="29"/>
      <c r="CS15" s="29"/>
      <c r="CT15" s="29"/>
      <c r="CU15" s="29"/>
      <c r="CV15" s="29"/>
      <c r="CW15" s="29"/>
      <c r="CX15" s="29"/>
    </row>
    <row r="16" spans="3:102" ht="33" customHeight="1">
      <c r="C16" s="32" t="s">
        <v>376</v>
      </c>
      <c r="D16" s="31" t="s">
        <v>56</v>
      </c>
      <c r="E16" s="62">
        <v>11</v>
      </c>
      <c r="F16" s="32" t="str">
        <f>IF(D16="","",VLOOKUP(D16,Preços!B:C,2,FALSE))</f>
        <v>REGISTRO DE  RECALQUE SIMPLES</v>
      </c>
      <c r="G16" s="20">
        <f>IF(D16="","",VLOOKUP(D16,Preços!B:M,9,FALSE))</f>
        <v>1053.2</v>
      </c>
      <c r="H16" s="20">
        <f>Preços!I37</f>
        <v>103.56</v>
      </c>
      <c r="I16" s="20">
        <f>H16*BDI_SERVIÇOS_MATERIAIS!$E$11</f>
        <v>30.190672795352</v>
      </c>
      <c r="J16" s="20">
        <f>BDI_SERVIÇOS_MATERIAIS!$E$11*G16</f>
        <v>307.03762638146708</v>
      </c>
      <c r="K16" s="20">
        <f t="shared" si="4"/>
        <v>1493.9882991768191</v>
      </c>
      <c r="L16" s="33">
        <v>4</v>
      </c>
      <c r="M16" s="22">
        <v>1</v>
      </c>
      <c r="N16" s="22">
        <f t="shared" si="5"/>
        <v>1</v>
      </c>
      <c r="O16" s="22">
        <f t="shared" si="6"/>
        <v>0.2</v>
      </c>
      <c r="P16" s="22">
        <f>O16+P15</f>
        <v>14.999999999999998</v>
      </c>
      <c r="Q16" s="22"/>
      <c r="R16" s="22"/>
      <c r="S16" s="22"/>
      <c r="T16" s="22"/>
      <c r="U16" s="22"/>
      <c r="V16" s="29"/>
      <c r="X16" s="29"/>
      <c r="Y16" s="29"/>
      <c r="Z16" s="29"/>
      <c r="AA16" s="29"/>
      <c r="AB16" s="29"/>
      <c r="AC16" s="29"/>
      <c r="AD16" s="29"/>
      <c r="AE16" s="21">
        <f>K16</f>
        <v>1493.9882991768191</v>
      </c>
      <c r="AF16" s="29"/>
      <c r="AG16" s="20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19"/>
      <c r="CN16" s="19"/>
      <c r="CO16" s="29"/>
      <c r="CP16" s="29"/>
      <c r="CQ16" s="29"/>
      <c r="CR16" s="29"/>
      <c r="CS16" s="29"/>
      <c r="CT16" s="29"/>
      <c r="CU16" s="29"/>
      <c r="CV16" s="29"/>
      <c r="CW16" s="29"/>
      <c r="CX16" s="29"/>
    </row>
    <row r="17" spans="3:102" ht="86.4">
      <c r="C17" s="32" t="s">
        <v>399</v>
      </c>
      <c r="D17" s="31" t="s">
        <v>65</v>
      </c>
      <c r="E17" s="62">
        <v>12</v>
      </c>
      <c r="F17" s="32" t="str">
        <f>IF(D17="","",VLOOKUP(D17,Preços!B:C,2,FALSE))</f>
        <v>TUBO DE AÇO GALVANIZADO COM COSTURA, CLASSE MÉDIA, CONEXÃO ROSQUEADA, DN 25 (1"), INSTALADO EM REDE DE ALIMENTAÇÃO PARA SPRINKLER - FORNECIMENTO E INSTALAÇÃO. AF_10/2020</v>
      </c>
      <c r="G17" s="20">
        <f>IF(D17="","",VLOOKUP(D17,Preços!B:M,9,FALSE))</f>
        <v>71310.436118999991</v>
      </c>
      <c r="H17" s="20">
        <f>IF(D17="","",VLOOKUP(D17,Preços!B:M,8,FALSE))</f>
        <v>20877.489360000003</v>
      </c>
      <c r="I17" s="20">
        <f>H17*BDI_SERVIÇOS_MATERIAIS!$E$11</f>
        <v>6086.3793941309668</v>
      </c>
      <c r="J17" s="20">
        <f>BDI_SERVIÇOS_MATERIAIS!$E$11*G17</f>
        <v>20789.011623817882</v>
      </c>
      <c r="K17" s="20">
        <f t="shared" ref="K17:K45" si="7">(G17+H17+I17+J17)*32.1%</f>
        <v>38219.324595520586</v>
      </c>
      <c r="L17" s="33">
        <v>386.3</v>
      </c>
      <c r="M17" s="22">
        <v>2</v>
      </c>
      <c r="N17" s="22">
        <f>((L17/M17)/$D$2)</f>
        <v>24.143750000000001</v>
      </c>
      <c r="O17" s="22">
        <f>(N17/5)*32.1%</f>
        <v>1.5500287500000001</v>
      </c>
      <c r="P17" s="33">
        <f>P6+O17</f>
        <v>6.5500287500000001</v>
      </c>
      <c r="Q17" s="33"/>
      <c r="R17" s="33"/>
      <c r="S17" s="33"/>
      <c r="T17" s="33"/>
      <c r="U17" s="33"/>
      <c r="V17" s="66"/>
      <c r="W17" s="21">
        <f>K17</f>
        <v>38219.324595520586</v>
      </c>
      <c r="X17" s="29"/>
      <c r="Y17" s="20"/>
      <c r="Z17" s="29"/>
      <c r="AA17" s="29"/>
      <c r="AB17" s="29"/>
      <c r="AC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19"/>
      <c r="CN17" s="19"/>
      <c r="CO17" s="29"/>
      <c r="CP17" s="29"/>
      <c r="CQ17" s="29"/>
      <c r="CR17" s="29"/>
      <c r="CS17" s="29"/>
      <c r="CT17" s="29"/>
      <c r="CU17" s="29"/>
      <c r="CV17" s="29"/>
      <c r="CW17" s="29"/>
      <c r="CX17" s="29"/>
    </row>
    <row r="18" spans="3:102" ht="86.4">
      <c r="C18" s="32" t="s">
        <v>399</v>
      </c>
      <c r="D18" s="31" t="s">
        <v>66</v>
      </c>
      <c r="E18" s="62">
        <v>13</v>
      </c>
      <c r="F18" s="32" t="str">
        <f>IF(D18="","",VLOOKUP(D18,Preços!B:C,2,FALSE))</f>
        <v>TUBO DE AÇO GALVANIZADO COM COSTURA, CLASSE MÉDIA, CONEXÃO ROSQUEADA, DN 32 (1 1/4"), INSTALADO EM  REDE DE ALIMENTAÇÃO PARA SPRINKLER - FORNECIMENTO E INSTALAÇÃO. AF_10/2020</v>
      </c>
      <c r="G18" s="20">
        <f>IF(D18="","",VLOOKUP(D18,Preços!B:M,9,FALSE))</f>
        <v>3147.1309999999999</v>
      </c>
      <c r="H18" s="20">
        <f>IF(D18="","",VLOOKUP(D18,Preços!B:M,8,FALSE))</f>
        <v>820.54335999999989</v>
      </c>
      <c r="I18" s="20">
        <f>H18*BDI_SERVIÇOS_MATERIAIS!$E$11</f>
        <v>239.21162703899884</v>
      </c>
      <c r="J18" s="20">
        <f>BDI_SERVIÇOS_MATERIAIS!$E$11*G18</f>
        <v>917.47781252519246</v>
      </c>
      <c r="K18" s="20">
        <f t="shared" si="7"/>
        <v>1644.9207796601054</v>
      </c>
      <c r="L18" s="33">
        <v>15.2</v>
      </c>
      <c r="M18" s="22">
        <v>2</v>
      </c>
      <c r="N18" s="22">
        <f t="shared" ref="N18:N45" si="8">((L18/M18)/$D$2)</f>
        <v>0.95</v>
      </c>
      <c r="O18" s="22">
        <f>(N18/5)*32.1%</f>
        <v>6.0990000000000003E-2</v>
      </c>
      <c r="P18" s="33">
        <f t="shared" ref="P18:P29" si="9">O18+P17</f>
        <v>6.6110187500000004</v>
      </c>
      <c r="Q18" s="33"/>
      <c r="R18" s="33"/>
      <c r="S18" s="33"/>
      <c r="T18" s="33"/>
      <c r="U18" s="33"/>
      <c r="V18" s="29"/>
      <c r="W18" s="21">
        <f>K18</f>
        <v>1644.9207796601054</v>
      </c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19"/>
      <c r="CN18" s="19"/>
      <c r="CO18" s="29"/>
      <c r="CP18" s="29"/>
      <c r="CQ18" s="29"/>
      <c r="CR18" s="29"/>
      <c r="CS18" s="29"/>
      <c r="CT18" s="29"/>
      <c r="CU18" s="29"/>
      <c r="CV18" s="29"/>
      <c r="CW18" s="29"/>
      <c r="CX18" s="29"/>
    </row>
    <row r="19" spans="3:102" ht="86.4">
      <c r="C19" s="32" t="s">
        <v>399</v>
      </c>
      <c r="D19" s="31" t="s">
        <v>67</v>
      </c>
      <c r="E19" s="62">
        <v>14</v>
      </c>
      <c r="F19" s="32" t="str">
        <f>IF(D19="","",VLOOKUP(D19,Preços!B:C,2,FALSE))</f>
        <v>TUBO DE AÇO GALVANIZADO COM COSTURA, CLASSE MÉDIA, CONEXÃO ROSQUEADA, DN 40 (1 1/2"), INSTALADO EM REDE DE ALIMENTAÇÃO PARA SPRINKLER - FORNECIMENTO E INSTALAÇÃO. AF_10/2020</v>
      </c>
      <c r="G19" s="20">
        <f>IF(D19="","",VLOOKUP(D19,Preços!B:M,9,FALSE))</f>
        <v>261933.10523999998</v>
      </c>
      <c r="H19" s="20">
        <f>IF(D19="","",VLOOKUP(D19,Preços!B:M,8,FALSE))</f>
        <v>58795.087679999997</v>
      </c>
      <c r="I19" s="20">
        <f>H19*BDI_SERVIÇOS_MATERIAIS!$E$11</f>
        <v>17140.433122063649</v>
      </c>
      <c r="J19" s="20">
        <f>BDI_SERVIÇOS_MATERIAIS!$E$11*G19</f>
        <v>76360.918062681929</v>
      </c>
      <c r="K19" s="20">
        <f t="shared" si="7"/>
        <v>132967.6836576233</v>
      </c>
      <c r="L19" s="33">
        <v>1088</v>
      </c>
      <c r="M19" s="22">
        <v>3</v>
      </c>
      <c r="N19" s="22">
        <f t="shared" si="8"/>
        <v>45.333333333333336</v>
      </c>
      <c r="O19" s="22">
        <f t="shared" ref="O19:O44" si="10">(N19/5)*32.1%</f>
        <v>2.9104000000000001</v>
      </c>
      <c r="P19" s="33">
        <f t="shared" si="9"/>
        <v>9.5214187500000005</v>
      </c>
      <c r="Q19" s="33"/>
      <c r="R19" s="33"/>
      <c r="S19" s="33"/>
      <c r="T19" s="33"/>
      <c r="U19" s="33"/>
      <c r="V19" s="29"/>
      <c r="W19" s="66"/>
      <c r="X19" s="66"/>
      <c r="Y19" s="66"/>
      <c r="Z19" s="71">
        <f>K19</f>
        <v>132967.6836576233</v>
      </c>
      <c r="AA19" s="29"/>
      <c r="AB19" s="29"/>
      <c r="AD19" s="29"/>
      <c r="AE19" s="29"/>
      <c r="AF19" s="29"/>
      <c r="AG19" s="20"/>
      <c r="AH19" s="29"/>
      <c r="AI19" s="29"/>
      <c r="AJ19" s="29"/>
      <c r="AK19" s="29"/>
      <c r="AL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19"/>
      <c r="CN19" s="19"/>
      <c r="CO19" s="29"/>
      <c r="CP19" s="29"/>
      <c r="CQ19" s="29"/>
      <c r="CR19" s="29"/>
      <c r="CS19" s="29"/>
      <c r="CT19" s="29"/>
      <c r="CU19" s="29"/>
      <c r="CV19" s="29"/>
      <c r="CW19" s="29"/>
      <c r="CX19" s="29"/>
    </row>
    <row r="20" spans="3:102" ht="86.4">
      <c r="C20" s="32" t="s">
        <v>399</v>
      </c>
      <c r="D20" s="31" t="s">
        <v>68</v>
      </c>
      <c r="E20" s="62">
        <v>15</v>
      </c>
      <c r="F20" s="32" t="str">
        <f>IF(D20="","",VLOOKUP(D20,Preços!B:C,2,FALSE))</f>
        <v>TUBO DE AÇO GALVANIZADO COM COSTURA, CLASSE MÉDIA, CONEXÃO ROSQUEADA, DN 50 (2"), INSTALADO EM REDE DE ALIMENTAÇÃO PARA SPRINKLER - FORNECIMENTO E INSTALAÇÃO. AF_10/2020</v>
      </c>
      <c r="G20" s="20">
        <f>IF(D20="","",VLOOKUP(D20,Preços!B:M,9,FALSE))</f>
        <v>316069.67034999997</v>
      </c>
      <c r="H20" s="20">
        <f>IF(D20="","",VLOOKUP(D20,Preços!B:M,8,FALSE))</f>
        <v>52731.016100000001</v>
      </c>
      <c r="I20" s="20">
        <f>H20*BDI_SERVIÇOS_MATERIAIS!$E$11</f>
        <v>15372.584523382951</v>
      </c>
      <c r="J20" s="20">
        <f>BDI_SERVIÇOS_MATERIAIS!$E$11*G20</f>
        <v>92143.259927304156</v>
      </c>
      <c r="K20" s="20">
        <f t="shared" si="7"/>
        <v>152897.60641912057</v>
      </c>
      <c r="L20" s="33">
        <v>975.8</v>
      </c>
      <c r="M20" s="22">
        <v>3</v>
      </c>
      <c r="N20" s="22">
        <f t="shared" si="8"/>
        <v>40.658333333333331</v>
      </c>
      <c r="O20" s="22">
        <f t="shared" si="10"/>
        <v>2.6102649999999996</v>
      </c>
      <c r="P20" s="33">
        <f t="shared" si="9"/>
        <v>12.131683750000001</v>
      </c>
      <c r="Q20" s="33"/>
      <c r="R20" s="33"/>
      <c r="S20" s="33"/>
      <c r="T20" s="33"/>
      <c r="U20" s="33"/>
      <c r="V20" s="29"/>
      <c r="W20" s="29"/>
      <c r="X20" s="29"/>
      <c r="Y20" s="29"/>
      <c r="Z20" s="66"/>
      <c r="AA20" s="66"/>
      <c r="AB20" s="66"/>
      <c r="AC20" s="21">
        <f>K20</f>
        <v>152897.60641912057</v>
      </c>
      <c r="AD20" s="29"/>
      <c r="AE20" s="29"/>
      <c r="AF20" s="29"/>
      <c r="AG20" s="29"/>
      <c r="AH20" s="29"/>
      <c r="AI20" s="29"/>
      <c r="AJ20" s="29"/>
      <c r="AK20" s="29"/>
      <c r="AL20" s="29"/>
      <c r="AM20" s="20"/>
      <c r="AN20" s="29"/>
      <c r="AO20" s="29"/>
      <c r="AP20" s="29"/>
      <c r="AQ20" s="29"/>
      <c r="AR20" s="29"/>
      <c r="AS20" s="29"/>
      <c r="AT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19"/>
      <c r="CN20" s="19"/>
      <c r="CO20" s="29"/>
      <c r="CP20" s="29"/>
      <c r="CQ20" s="29"/>
      <c r="CR20" s="29"/>
      <c r="CS20" s="29"/>
      <c r="CT20" s="29"/>
      <c r="CU20" s="29"/>
      <c r="CV20" s="29"/>
      <c r="CW20" s="29"/>
      <c r="CX20" s="29"/>
    </row>
    <row r="21" spans="3:102" ht="86.4">
      <c r="C21" s="32" t="s">
        <v>399</v>
      </c>
      <c r="D21" s="31" t="s">
        <v>69</v>
      </c>
      <c r="E21" s="62">
        <v>16</v>
      </c>
      <c r="F21" s="32" t="str">
        <f>IF(D21="","",VLOOKUP(D21,Preços!B:C,2,FALSE))</f>
        <v>TUBO DE AÇO GALVANIZADO COM COSTURA, CLASSE MÉDIA, CONEXÃO ROSQUEADA, DN 65 (2 1/2"), INSTALADO EM REDE DE ALIMENTAÇÃO PARA SPRINKLER - FORNECIMENTO E INSTALAÇÃO. AF_10/2020</v>
      </c>
      <c r="G21" s="20">
        <f>IF(D21="","",VLOOKUP(D21,Preços!B:M,9,FALSE))</f>
        <v>62686.083107499995</v>
      </c>
      <c r="H21" s="20">
        <f>IF(D21="","",VLOOKUP(D21,Preços!B:M,8,FALSE))</f>
        <v>9289.2733499999995</v>
      </c>
      <c r="I21" s="20">
        <f>H21*BDI_SERVIÇOS_MATERIAIS!$E$11</f>
        <v>2708.0862516071197</v>
      </c>
      <c r="J21" s="20">
        <f>BDI_SERVIÇOS_MATERIAIS!$E$11*G21</f>
        <v>18274.768481274379</v>
      </c>
      <c r="K21" s="20">
        <f t="shared" si="7"/>
        <v>29839.585792112459</v>
      </c>
      <c r="L21" s="33">
        <v>171.9</v>
      </c>
      <c r="M21" s="22">
        <v>3</v>
      </c>
      <c r="N21" s="22">
        <f t="shared" si="8"/>
        <v>7.1625000000000005</v>
      </c>
      <c r="O21" s="22">
        <f t="shared" si="10"/>
        <v>0.45983250000000003</v>
      </c>
      <c r="P21" s="33">
        <f t="shared" si="9"/>
        <v>12.59151625</v>
      </c>
      <c r="Q21" s="33"/>
      <c r="R21" s="33"/>
      <c r="S21" s="33"/>
      <c r="T21" s="33"/>
      <c r="U21" s="33"/>
      <c r="V21" s="29"/>
      <c r="W21" s="29"/>
      <c r="X21" s="29"/>
      <c r="Y21" s="29"/>
      <c r="Z21" s="29"/>
      <c r="AA21" s="29"/>
      <c r="AB21" s="29"/>
      <c r="AC21" s="21">
        <f>K21</f>
        <v>29839.585792112459</v>
      </c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0"/>
      <c r="AV21" s="29"/>
      <c r="AW21" s="20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19"/>
      <c r="CN21" s="19"/>
      <c r="CO21" s="29"/>
      <c r="CP21" s="29"/>
      <c r="CQ21" s="29"/>
      <c r="CR21" s="29"/>
      <c r="CS21" s="29"/>
      <c r="CT21" s="29"/>
      <c r="CU21" s="29"/>
      <c r="CV21" s="29"/>
      <c r="CW21" s="29"/>
      <c r="CX21" s="29"/>
    </row>
    <row r="22" spans="3:102" ht="43.2">
      <c r="C22" s="32" t="s">
        <v>399</v>
      </c>
      <c r="D22" s="31" t="s">
        <v>70</v>
      </c>
      <c r="E22" s="62">
        <v>17</v>
      </c>
      <c r="F22" s="32" t="str">
        <f>IF(D22="","",VLOOKUP(D22,Preços!B:C,2,FALSE))</f>
        <v xml:space="preserve">TUBO AÇO GALVANIZADO  COM COSTURA, NBR 5580, CLASSE L, DN = 100MM </v>
      </c>
      <c r="G22" s="20">
        <f>IF(D22="","",VLOOKUP(D22,Preços!B:M,9,FALSE))</f>
        <v>114044.61105799999</v>
      </c>
      <c r="H22" s="20">
        <f>IF(D22="","",VLOOKUP(D22,Preços!B:M,8,FALSE))</f>
        <v>11893.933800000003</v>
      </c>
      <c r="I22" s="20">
        <f>H22*BDI_SERVIÇOS_MATERIAIS!$E$11</f>
        <v>3467.4185361662585</v>
      </c>
      <c r="J22" s="20">
        <f>BDI_SERVIÇOS_MATERIAIS!$E$11*G22</f>
        <v>33247.233840529749</v>
      </c>
      <c r="K22" s="20">
        <f t="shared" si="7"/>
        <v>52211.676312337418</v>
      </c>
      <c r="L22" s="33">
        <f>Preços!E61*0.4</f>
        <v>14.4</v>
      </c>
      <c r="M22" s="22">
        <v>2</v>
      </c>
      <c r="N22" s="22">
        <f t="shared" si="8"/>
        <v>0.9</v>
      </c>
      <c r="O22" s="22">
        <f t="shared" si="10"/>
        <v>5.7779999999999998E-2</v>
      </c>
      <c r="P22" s="33">
        <f t="shared" si="9"/>
        <v>12.649296249999999</v>
      </c>
      <c r="Q22" s="33"/>
      <c r="R22" s="33"/>
      <c r="S22" s="33"/>
      <c r="T22" s="33"/>
      <c r="U22" s="33"/>
      <c r="V22" s="29"/>
      <c r="W22" s="29"/>
      <c r="X22" s="29"/>
      <c r="Y22" s="29"/>
      <c r="Z22" s="29"/>
      <c r="AA22" s="29"/>
      <c r="AB22" s="29"/>
      <c r="AC22" s="21">
        <f>K22</f>
        <v>52211.676312337418</v>
      </c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0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19"/>
      <c r="CN22" s="19"/>
      <c r="CO22" s="29"/>
      <c r="CP22" s="29"/>
      <c r="CQ22" s="29"/>
      <c r="CR22" s="29"/>
      <c r="CS22" s="29"/>
      <c r="CT22" s="29"/>
      <c r="CU22" s="29"/>
      <c r="CV22" s="29"/>
      <c r="CW22" s="29"/>
      <c r="CX22" s="29"/>
    </row>
    <row r="23" spans="3:102" ht="43.2">
      <c r="C23" s="32" t="s">
        <v>399</v>
      </c>
      <c r="D23" s="31" t="s">
        <v>71</v>
      </c>
      <c r="E23" s="62">
        <v>18</v>
      </c>
      <c r="F23" s="32" t="str">
        <f>IF(D23="","",VLOOKUP(D23,Preços!B:C,2,FALSE))</f>
        <v xml:space="preserve">TUBO AÇO GALVANIZADO  COM COSTURA, NBR 5580, CLASSE L, DN = 150MM </v>
      </c>
      <c r="G23" s="20">
        <f>IF(D23="","",VLOOKUP(D23,Preços!B:M,9,FALSE))</f>
        <v>41986.874188999995</v>
      </c>
      <c r="H23" s="20">
        <f>IF(D23="","",VLOOKUP(D23,Preços!B:M,8,FALSE))</f>
        <v>5094.0805999999993</v>
      </c>
      <c r="I23" s="20">
        <f>H23*BDI_SERVIÇOS_MATERIAIS!$E$11</f>
        <v>1485.0687580895169</v>
      </c>
      <c r="J23" s="20">
        <f>BDI_SERVIÇOS_MATERIAIS!$E$11*G23</f>
        <v>12240.362884701712</v>
      </c>
      <c r="K23" s="20">
        <f t="shared" si="7"/>
        <v>19518.850044604984</v>
      </c>
      <c r="L23" s="33">
        <f>0.5*Preços!E65</f>
        <v>1.04</v>
      </c>
      <c r="M23" s="22">
        <v>2</v>
      </c>
      <c r="N23" s="22">
        <f t="shared" si="8"/>
        <v>6.5000000000000002E-2</v>
      </c>
      <c r="O23" s="22">
        <f t="shared" si="10"/>
        <v>4.1730000000000005E-3</v>
      </c>
      <c r="P23" s="33">
        <f t="shared" si="9"/>
        <v>12.653469249999999</v>
      </c>
      <c r="Q23" s="33"/>
      <c r="R23" s="33"/>
      <c r="S23" s="33"/>
      <c r="T23" s="33"/>
      <c r="U23" s="33"/>
      <c r="V23" s="29"/>
      <c r="W23" s="29"/>
      <c r="X23" s="29"/>
      <c r="Y23" s="29"/>
      <c r="Z23" s="29"/>
      <c r="AA23" s="29"/>
      <c r="AB23" s="29"/>
      <c r="AC23" s="21">
        <f>K23</f>
        <v>19518.850044604984</v>
      </c>
      <c r="AE23" s="72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0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19"/>
      <c r="CN23" s="19"/>
      <c r="CO23" s="29"/>
      <c r="CP23" s="29"/>
      <c r="CQ23" s="29"/>
      <c r="CR23" s="29"/>
      <c r="CS23" s="29"/>
      <c r="CT23" s="29"/>
      <c r="CU23" s="29"/>
      <c r="CV23" s="29"/>
      <c r="CW23" s="29"/>
      <c r="CX23" s="29"/>
    </row>
    <row r="24" spans="3:102" ht="86.4">
      <c r="C24" s="32" t="s">
        <v>399</v>
      </c>
      <c r="D24" s="31" t="s">
        <v>84</v>
      </c>
      <c r="E24" s="62">
        <v>19</v>
      </c>
      <c r="F24" s="32" t="str">
        <f>IF(D24="","",VLOOKUP(D24,Preços!B:C,2,FALSE))</f>
        <v>JOELHO 90 GRAUS, EM FERRO GALVANIZADO, CONEXÃO ROSQUEADA, DN 25 (1"), INSTALADO EM REDE DE ALIMENTAÇÃO PARA SPRINKLER - FORNECIMENTO E INSTALAÇÃO. AF_12/2015</v>
      </c>
      <c r="G24" s="20">
        <f>IF(D24="","",VLOOKUP(D24,Preços!B:M,9,FALSE))</f>
        <v>14861.2714</v>
      </c>
      <c r="H24" s="20">
        <f>IF(D24="","",VLOOKUP(D24,Preços!B:M,8,FALSE))</f>
        <v>21886.091919999999</v>
      </c>
      <c r="I24" s="20">
        <f>H24*BDI_SERVIÇOS_MATERIAIS!$E$11</f>
        <v>6380.4156037632019</v>
      </c>
      <c r="J24" s="20">
        <f>BDI_SERVIÇOS_MATERIAIS!$E$11*G24</f>
        <v>4332.4814808837655</v>
      </c>
      <c r="K24" s="20">
        <f t="shared" si="7"/>
        <v>15234.743589891676</v>
      </c>
      <c r="L24" s="33">
        <v>404.99799999999999</v>
      </c>
      <c r="M24" s="22">
        <v>3</v>
      </c>
      <c r="N24" s="22">
        <f t="shared" si="8"/>
        <v>16.874916666666667</v>
      </c>
      <c r="O24" s="22">
        <f t="shared" si="10"/>
        <v>1.0833696500000001</v>
      </c>
      <c r="P24" s="33">
        <f t="shared" si="9"/>
        <v>13.736838899999999</v>
      </c>
      <c r="Q24" s="33"/>
      <c r="R24" s="33"/>
      <c r="S24" s="33"/>
      <c r="T24" s="33"/>
      <c r="U24" s="33"/>
      <c r="V24" s="29"/>
      <c r="W24" s="29"/>
      <c r="X24" s="29"/>
      <c r="Y24" s="29"/>
      <c r="Z24" s="29"/>
      <c r="AA24" s="29"/>
      <c r="AB24" s="29"/>
      <c r="AC24" s="29"/>
      <c r="AD24" s="21">
        <f>K24</f>
        <v>15234.743589891676</v>
      </c>
      <c r="AE24" s="29"/>
      <c r="AF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0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19"/>
      <c r="CN24" s="19"/>
      <c r="CO24" s="29"/>
      <c r="CP24" s="29"/>
      <c r="CQ24" s="29"/>
      <c r="CR24" s="29"/>
      <c r="CS24" s="29"/>
      <c r="CT24" s="29"/>
      <c r="CU24" s="29"/>
      <c r="CV24" s="29"/>
      <c r="CW24" s="29"/>
      <c r="CX24" s="29"/>
    </row>
    <row r="25" spans="3:102" ht="86.4">
      <c r="C25" s="32" t="s">
        <v>399</v>
      </c>
      <c r="D25" s="31" t="s">
        <v>85</v>
      </c>
      <c r="E25" s="62">
        <v>20</v>
      </c>
      <c r="F25" s="32" t="str">
        <f>IF(D25="","",VLOOKUP(D25,Preços!B:C,2,FALSE))</f>
        <v>JOELHO 90 GRAUS, EM FERRO GALVANIZADO, CONEXÃO ROSQUEADA, DN 32 (1 1/4"), INSTALADO EM REDE DE ALIMENTAÇÃO PARA SPRINKLER - FORNECIMENTO E INSTALAÇÃO. AF_10/2020</v>
      </c>
      <c r="G25" s="20">
        <f>IF(D25="","",VLOOKUP(D25,Preços!B:M,9,FALSE))</f>
        <v>414.07711999999998</v>
      </c>
      <c r="H25" s="20">
        <f>IF(D25="","",VLOOKUP(D25,Preços!B:M,8,FALSE))</f>
        <v>412.43327999999997</v>
      </c>
      <c r="I25" s="20">
        <f>H25*BDI_SERVIÇOS_MATERIAIS!$E$11</f>
        <v>120.23598113551365</v>
      </c>
      <c r="J25" s="20">
        <f>BDI_SERVIÇOS_MATERIAIS!$E$11*G25</f>
        <v>120.71520704868391</v>
      </c>
      <c r="K25" s="20">
        <f t="shared" si="7"/>
        <v>342.65516980712738</v>
      </c>
      <c r="L25" s="33">
        <v>7.6</v>
      </c>
      <c r="M25" s="22">
        <v>2</v>
      </c>
      <c r="N25" s="22">
        <f t="shared" si="8"/>
        <v>0.47499999999999998</v>
      </c>
      <c r="O25" s="22">
        <f t="shared" si="10"/>
        <v>3.0495000000000001E-2</v>
      </c>
      <c r="P25" s="33">
        <f t="shared" si="9"/>
        <v>13.767333899999999</v>
      </c>
      <c r="Q25" s="33"/>
      <c r="R25" s="33"/>
      <c r="S25" s="33"/>
      <c r="T25" s="33"/>
      <c r="U25" s="33"/>
      <c r="V25" s="29"/>
      <c r="W25" s="29"/>
      <c r="X25" s="29"/>
      <c r="Y25" s="29"/>
      <c r="Z25" s="29"/>
      <c r="AA25" s="29"/>
      <c r="AB25" s="29"/>
      <c r="AC25" s="29"/>
      <c r="AD25" s="21">
        <f>K25</f>
        <v>342.65516980712738</v>
      </c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0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19"/>
      <c r="CN25" s="19"/>
      <c r="CO25" s="29"/>
      <c r="CP25" s="29"/>
      <c r="CQ25" s="29"/>
      <c r="CR25" s="29"/>
      <c r="CS25" s="29"/>
      <c r="CT25" s="29"/>
      <c r="CU25" s="29"/>
      <c r="CV25" s="29"/>
      <c r="CW25" s="29"/>
      <c r="CX25" s="29"/>
    </row>
    <row r="26" spans="3:102" ht="28.8">
      <c r="C26" s="32" t="s">
        <v>399</v>
      </c>
      <c r="D26" s="31" t="s">
        <v>86</v>
      </c>
      <c r="E26" s="62">
        <v>21</v>
      </c>
      <c r="F26" s="32" t="str">
        <f>IF(D26="","",VLOOKUP(D26,Preços!B:C,2,FALSE))</f>
        <v>COTOVELO DE AÇO GALVANIZADO 4" - FORNECIMENTO E INSTALAÇÃO</v>
      </c>
      <c r="G26" s="20">
        <f>IF(D26="","",VLOOKUP(D26,Preços!B:M,9,FALSE))</f>
        <v>6384</v>
      </c>
      <c r="H26" s="20">
        <f>IF(D26="","",VLOOKUP(D26,Preços!B:M,8,FALSE))</f>
        <v>1229.7750000000001</v>
      </c>
      <c r="I26" s="20">
        <f>H26*BDI_SERVIÇOS_MATERIAIS!$E$11</f>
        <v>358.51423944480501</v>
      </c>
      <c r="J26" s="20">
        <f>BDI_SERVIÇOS_MATERIAIS!$E$11*G26</f>
        <v>1861.1167934098801</v>
      </c>
      <c r="K26" s="20">
        <f>(G26+H26+I26+J26)*32.1%</f>
        <v>3156.5233365463537</v>
      </c>
      <c r="L26" s="33">
        <v>23.75</v>
      </c>
      <c r="M26" s="22">
        <v>2</v>
      </c>
      <c r="N26" s="22">
        <f t="shared" si="8"/>
        <v>1.484375</v>
      </c>
      <c r="O26" s="22">
        <f t="shared" si="10"/>
        <v>9.5296875000000003E-2</v>
      </c>
      <c r="P26" s="33">
        <f t="shared" si="9"/>
        <v>13.862630775</v>
      </c>
      <c r="Q26" s="33"/>
      <c r="R26" s="33"/>
      <c r="S26" s="33"/>
      <c r="T26" s="33"/>
      <c r="U26" s="33"/>
      <c r="V26" s="29"/>
      <c r="W26" s="29"/>
      <c r="X26" s="29"/>
      <c r="Y26" s="29"/>
      <c r="Z26" s="29"/>
      <c r="AA26" s="29"/>
      <c r="AB26" s="29"/>
      <c r="AC26" s="29"/>
      <c r="AD26" s="21">
        <f>K26</f>
        <v>3156.5233365463537</v>
      </c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0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19"/>
      <c r="CN26" s="19"/>
      <c r="CO26" s="29"/>
      <c r="CP26" s="29"/>
      <c r="CQ26" s="29"/>
      <c r="CR26" s="29"/>
      <c r="CS26" s="29"/>
      <c r="CT26" s="29"/>
      <c r="CU26" s="29"/>
      <c r="CV26" s="29"/>
      <c r="CW26" s="29"/>
      <c r="CX26" s="29"/>
    </row>
    <row r="27" spans="3:102" ht="72">
      <c r="C27" s="32" t="s">
        <v>399</v>
      </c>
      <c r="D27" s="31" t="s">
        <v>87</v>
      </c>
      <c r="E27" s="62">
        <v>22</v>
      </c>
      <c r="F27" s="32" t="str">
        <f>IF(D27="","",VLOOKUP(D27,Preços!B:C,2,FALSE))</f>
        <v xml:space="preserve">COTOVELO DE 90 GRAUS, DE REDUÇÃO EM FERRO GALVANIZADO, CONEXÃO ROSQUEADA, 1"X3/4", INSTALADO EM REDE DE ALIMENTAÇÃO PARA SPRINKLER - FORNECIMENTO E INSTALAÇÃO. </v>
      </c>
      <c r="G27" s="20">
        <f>IF(D27="","",VLOOKUP(D27,Preços!B:M,9,FALSE))</f>
        <v>21419.019899999999</v>
      </c>
      <c r="H27" s="20">
        <f>IF(D27="","",VLOOKUP(D27,Preços!B:M,8,FALSE))</f>
        <v>27857.241720000002</v>
      </c>
      <c r="I27" s="20">
        <f>H27*BDI_SERVIÇOS_MATERIAIS!$E$11</f>
        <v>8121.1748720504911</v>
      </c>
      <c r="J27" s="20">
        <f>BDI_SERVIÇOS_MATERIAIS!$E$11*G27</f>
        <v>6244.250882561154</v>
      </c>
      <c r="K27" s="20">
        <f t="shared" si="7"/>
        <v>20428.981647250341</v>
      </c>
      <c r="L27" s="33">
        <v>515.5</v>
      </c>
      <c r="M27" s="22">
        <v>3</v>
      </c>
      <c r="N27" s="22">
        <f t="shared" si="8"/>
        <v>21.479166666666668</v>
      </c>
      <c r="O27" s="22">
        <f t="shared" si="10"/>
        <v>1.3789625000000001</v>
      </c>
      <c r="P27" s="33">
        <f t="shared" si="9"/>
        <v>15.241593275</v>
      </c>
      <c r="Q27" s="33"/>
      <c r="R27" s="33"/>
      <c r="S27" s="33"/>
      <c r="T27" s="33"/>
      <c r="U27" s="33"/>
      <c r="V27" s="29"/>
      <c r="W27" s="29"/>
      <c r="X27" s="29"/>
      <c r="Y27" s="29"/>
      <c r="Z27" s="29"/>
      <c r="AA27" s="29"/>
      <c r="AB27" s="29"/>
      <c r="AC27" s="29"/>
      <c r="AD27" s="66"/>
      <c r="AE27" s="73"/>
      <c r="AF27" s="21">
        <f>K27</f>
        <v>20428.981647250341</v>
      </c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0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19"/>
      <c r="CN27" s="19"/>
      <c r="CO27" s="29"/>
      <c r="CP27" s="29"/>
      <c r="CQ27" s="29"/>
      <c r="CR27" s="29"/>
      <c r="CS27" s="29"/>
      <c r="CT27" s="29"/>
      <c r="CU27" s="29"/>
      <c r="CV27" s="29"/>
      <c r="CW27" s="29"/>
      <c r="CX27" s="29"/>
    </row>
    <row r="28" spans="3:102" ht="72">
      <c r="C28" s="32" t="s">
        <v>399</v>
      </c>
      <c r="D28" s="31" t="s">
        <v>88</v>
      </c>
      <c r="E28" s="62">
        <v>23</v>
      </c>
      <c r="F28" s="32" t="str">
        <f>IF(D28="","",VLOOKUP(D28,Preços!B:C,2,FALSE))</f>
        <v>COTOVELO 90 GRAUS,DE REDUÇÃO EM FERRO GALVANIZADO, CONEXÃO ROSQUEADA, 2"X1.1/2", INSTALADO EM REDE DE ALIMENTAÇÃO PARA SPRINKLER - FORNECIMENTO E INSTALAÇÃO</v>
      </c>
      <c r="G28" s="20">
        <f>IF(D28="","",VLOOKUP(D28,Preços!B:M,9,FALSE))</f>
        <v>15544.41504</v>
      </c>
      <c r="H28" s="20">
        <f>IF(D28="","",VLOOKUP(D28,Preços!B:M,8,FALSE))</f>
        <v>7101.1802399999997</v>
      </c>
      <c r="I28" s="20">
        <f>H28*BDI_SERVIÇOS_MATERIAIS!$E$11</f>
        <v>2070.195143749123</v>
      </c>
      <c r="J28" s="20">
        <f>BDI_SERVIÇOS_MATERIAIS!$E$11*G28</f>
        <v>4531.6371984143343</v>
      </c>
      <c r="K28" s="20">
        <f t="shared" si="7"/>
        <v>9388.4242667144699</v>
      </c>
      <c r="L28" s="33">
        <v>131.4</v>
      </c>
      <c r="M28" s="22">
        <v>3</v>
      </c>
      <c r="N28" s="22">
        <f t="shared" si="8"/>
        <v>5.4750000000000005</v>
      </c>
      <c r="O28" s="22">
        <f t="shared" si="10"/>
        <v>0.35149500000000006</v>
      </c>
      <c r="P28" s="33">
        <f t="shared" si="9"/>
        <v>15.593088274999999</v>
      </c>
      <c r="Q28" s="33"/>
      <c r="R28" s="33"/>
      <c r="S28" s="33"/>
      <c r="T28" s="33"/>
      <c r="U28" s="33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1">
        <f>K28</f>
        <v>9388.4242667144699</v>
      </c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0"/>
      <c r="BJ28" s="20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19"/>
      <c r="CN28" s="19"/>
      <c r="CO28" s="29"/>
      <c r="CP28" s="29"/>
      <c r="CQ28" s="29"/>
      <c r="CR28" s="29"/>
      <c r="CS28" s="29"/>
      <c r="CT28" s="29"/>
      <c r="CU28" s="29"/>
      <c r="CV28" s="29"/>
      <c r="CW28" s="29"/>
      <c r="CX28" s="29"/>
    </row>
    <row r="29" spans="3:102" ht="28.8">
      <c r="C29" s="32" t="s">
        <v>399</v>
      </c>
      <c r="D29" s="31" t="s">
        <v>89</v>
      </c>
      <c r="E29" s="62">
        <v>24</v>
      </c>
      <c r="F29" s="32" t="str">
        <f>IF(D29="","",VLOOKUP(D29,Preços!B:C,2,FALSE))</f>
        <v>COTOVELO 90 GRAUS AÇO GALVANIZADO , REDUÇÃO 2.1/2" X 2"</v>
      </c>
      <c r="G29" s="20">
        <f>IF(D29="","",VLOOKUP(D29,Preços!B:M,9,FALSE))</f>
        <v>2572.7647999999999</v>
      </c>
      <c r="H29" s="20">
        <f>IF(D29="","",VLOOKUP(D29,Preços!B:M,8,FALSE))</f>
        <v>1292.6367999999998</v>
      </c>
      <c r="I29" s="20">
        <f>H29*BDI_SERVIÇOS_MATERIAIS!$E$11</f>
        <v>376.84023437650501</v>
      </c>
      <c r="J29" s="20">
        <f>BDI_SERVIÇOS_MATERIAIS!$E$11*G29</f>
        <v>750.03379930667472</v>
      </c>
      <c r="K29" s="20">
        <f t="shared" si="7"/>
        <v>1602.5204784123007</v>
      </c>
      <c r="L29" s="33">
        <v>23.9</v>
      </c>
      <c r="M29" s="22">
        <v>2</v>
      </c>
      <c r="N29" s="22">
        <f t="shared" si="8"/>
        <v>1.4937499999999999</v>
      </c>
      <c r="O29" s="22">
        <f t="shared" si="10"/>
        <v>9.5898749999999991E-2</v>
      </c>
      <c r="P29" s="33">
        <f t="shared" si="9"/>
        <v>15.688987024999999</v>
      </c>
      <c r="Q29" s="33"/>
      <c r="R29" s="33"/>
      <c r="S29" s="33"/>
      <c r="T29" s="33"/>
      <c r="U29" s="33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1">
        <f>K29</f>
        <v>1602.5204784123007</v>
      </c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0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19"/>
      <c r="CN29" s="19"/>
      <c r="CO29" s="29"/>
      <c r="CP29" s="29"/>
      <c r="CQ29" s="29"/>
      <c r="CR29" s="29"/>
      <c r="CS29" s="29"/>
      <c r="CT29" s="29"/>
      <c r="CU29" s="29"/>
      <c r="CV29" s="29"/>
      <c r="CW29" s="29"/>
      <c r="CX29" s="29"/>
    </row>
    <row r="30" spans="3:102" ht="28.8">
      <c r="C30" s="32" t="s">
        <v>399</v>
      </c>
      <c r="D30" s="31" t="s">
        <v>90</v>
      </c>
      <c r="E30" s="62">
        <v>25</v>
      </c>
      <c r="F30" s="32" t="str">
        <f>IF(D30="","",VLOOKUP(D30,Preços!B:C,2,FALSE))</f>
        <v>COTOVELO 90 GRAUS AÇO GALVANIZADO , REDUÇÃO 4" X 2"</v>
      </c>
      <c r="G30" s="20">
        <f>IF(D30="","",VLOOKUP(D30,Preços!B:M,9,FALSE))</f>
        <v>2224.2673000000004</v>
      </c>
      <c r="H30" s="20">
        <f>IF(D30="","",VLOOKUP(D30,Preços!B:M,8,FALSE))</f>
        <v>256.69</v>
      </c>
      <c r="I30" s="20">
        <f>H30*BDI_SERVIÇOS_MATERIAIS!$E$11</f>
        <v>74.832404401688919</v>
      </c>
      <c r="J30" s="20">
        <f>BDI_SERVIÇOS_MATERIAIS!$E$11*G30</f>
        <v>648.43690868772751</v>
      </c>
      <c r="K30" s="20">
        <f t="shared" si="7"/>
        <v>1028.5567428017027</v>
      </c>
      <c r="L30" s="33">
        <v>23.9</v>
      </c>
      <c r="M30" s="22">
        <v>2</v>
      </c>
      <c r="N30" s="22">
        <f t="shared" si="8"/>
        <v>1.4937499999999999</v>
      </c>
      <c r="O30" s="22">
        <f t="shared" si="10"/>
        <v>9.5898749999999991E-2</v>
      </c>
      <c r="P30" s="33">
        <f>O30+P29</f>
        <v>15.784885774999999</v>
      </c>
      <c r="Q30" s="33"/>
      <c r="R30" s="33"/>
      <c r="S30" s="33"/>
      <c r="T30" s="33"/>
      <c r="U30" s="33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1">
        <f>K30</f>
        <v>1028.5567428017027</v>
      </c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0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19"/>
      <c r="CN30" s="19"/>
      <c r="CO30" s="29"/>
      <c r="CP30" s="29"/>
      <c r="CQ30" s="29"/>
      <c r="CR30" s="29"/>
      <c r="CS30" s="29"/>
      <c r="CT30" s="29"/>
      <c r="CU30" s="29"/>
      <c r="CV30" s="29"/>
      <c r="CW30" s="29"/>
      <c r="CX30" s="29"/>
    </row>
    <row r="31" spans="3:102" ht="28.8">
      <c r="C31" s="32" t="s">
        <v>399</v>
      </c>
      <c r="D31" s="31" t="s">
        <v>91</v>
      </c>
      <c r="E31" s="62">
        <v>26</v>
      </c>
      <c r="F31" s="32" t="str">
        <f>IF(D31="","",VLOOKUP(D31,Preços!B:C,2,FALSE))</f>
        <v>COTOVELO 90 GRAUS AÇO GALVANIZADO , REDUÇÃO 4" X 2.1/2"</v>
      </c>
      <c r="G31" s="20">
        <f>IF(D31="","",VLOOKUP(D31,Preços!B:M,9,FALSE))</f>
        <v>4003.6811400000001</v>
      </c>
      <c r="H31" s="20">
        <f>IF(D31="","",VLOOKUP(D31,Preços!B:M,8,FALSE))</f>
        <v>462.04199999999992</v>
      </c>
      <c r="I31" s="20">
        <f>H31*BDI_SERVIÇOS_MATERIAIS!$E$11</f>
        <v>134.69832792304004</v>
      </c>
      <c r="J31" s="20">
        <f>BDI_SERVIÇOS_MATERIAIS!$E$11*G31</f>
        <v>1167.1864356379094</v>
      </c>
      <c r="K31" s="20">
        <f t="shared" si="7"/>
        <v>1851.4021370430646</v>
      </c>
      <c r="L31" s="33">
        <v>8.6</v>
      </c>
      <c r="M31" s="22">
        <v>2</v>
      </c>
      <c r="N31" s="22">
        <f t="shared" si="8"/>
        <v>0.53749999999999998</v>
      </c>
      <c r="O31" s="22">
        <f t="shared" si="10"/>
        <v>3.4507500000000003E-2</v>
      </c>
      <c r="P31" s="33">
        <f t="shared" ref="P31:P43" si="11">O31+P30</f>
        <v>15.819393274999999</v>
      </c>
      <c r="Q31" s="33"/>
      <c r="R31" s="33"/>
      <c r="S31" s="33"/>
      <c r="T31" s="33"/>
      <c r="U31" s="33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1">
        <f>K31</f>
        <v>1851.4021370430646</v>
      </c>
      <c r="AG31" s="29"/>
      <c r="AH31" s="29"/>
      <c r="AI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0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19"/>
      <c r="CN31" s="19"/>
      <c r="CO31" s="29"/>
      <c r="CP31" s="29"/>
      <c r="CQ31" s="29"/>
      <c r="CR31" s="29"/>
      <c r="CS31" s="29"/>
      <c r="CT31" s="29"/>
      <c r="CU31" s="29"/>
      <c r="CV31" s="29"/>
      <c r="CW31" s="29"/>
      <c r="CX31" s="29"/>
    </row>
    <row r="32" spans="3:102" ht="28.8">
      <c r="C32" s="32" t="s">
        <v>399</v>
      </c>
      <c r="D32" s="31" t="s">
        <v>92</v>
      </c>
      <c r="E32" s="62">
        <v>27</v>
      </c>
      <c r="F32" s="32" t="str">
        <f>IF(D32="","",VLOOKUP(D32,Preços!B:C,2,FALSE))</f>
        <v>TE DE REDUCAO DE   1"X3/4"</v>
      </c>
      <c r="G32" s="20">
        <f>IF(D32="","",VLOOKUP(D32,Preços!B:M,9,FALSE))</f>
        <v>30303.587599999999</v>
      </c>
      <c r="H32" s="20">
        <f>IF(D32="","",VLOOKUP(D32,Preços!B:M,8,FALSE))</f>
        <v>36570.27304</v>
      </c>
      <c r="I32" s="20">
        <f>H32*BDI_SERVIÇOS_MATERIAIS!$E$11</f>
        <v>10661.27025287102</v>
      </c>
      <c r="J32" s="20">
        <f>BDI_SERVIÇOS_MATERIAIS!$E$11*G32</f>
        <v>8834.353976022463</v>
      </c>
      <c r="K32" s="20">
        <f t="shared" si="7"/>
        <v>27724.604642914808</v>
      </c>
      <c r="L32" s="33">
        <v>676.7</v>
      </c>
      <c r="M32" s="22">
        <v>3</v>
      </c>
      <c r="N32" s="22">
        <f t="shared" si="8"/>
        <v>28.195833333333336</v>
      </c>
      <c r="O32" s="22">
        <f t="shared" si="10"/>
        <v>1.8101725000000002</v>
      </c>
      <c r="P32" s="33">
        <f>O32+P31</f>
        <v>17.629565775</v>
      </c>
      <c r="Q32" s="33"/>
      <c r="R32" s="33"/>
      <c r="S32" s="33"/>
      <c r="T32" s="33"/>
      <c r="U32" s="33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66"/>
      <c r="AG32" s="73"/>
      <c r="AH32" s="21">
        <f>K32</f>
        <v>27724.604642914808</v>
      </c>
      <c r="AI32" s="29"/>
      <c r="AJ32" s="29"/>
      <c r="AK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0"/>
      <c r="BN32" s="29"/>
      <c r="BO32" s="29"/>
      <c r="BP32" s="20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19"/>
      <c r="CN32" s="19"/>
      <c r="CO32" s="29"/>
      <c r="CP32" s="29"/>
      <c r="CQ32" s="29"/>
      <c r="CR32" s="29"/>
      <c r="CS32" s="29"/>
      <c r="CT32" s="29"/>
      <c r="CU32" s="29"/>
      <c r="CV32" s="29"/>
      <c r="CW32" s="29"/>
      <c r="CX32" s="29"/>
    </row>
    <row r="33" spans="3:102" ht="28.8">
      <c r="C33" s="32" t="s">
        <v>399</v>
      </c>
      <c r="D33" s="31" t="s">
        <v>93</v>
      </c>
      <c r="E33" s="62">
        <v>28</v>
      </c>
      <c r="F33" s="32" t="str">
        <f>IF(D33="","",VLOOKUP(D33,Preços!B:C,2,FALSE))</f>
        <v>TE DE REDUCAO DE   1.1/2"X3/4"</v>
      </c>
      <c r="G33" s="20">
        <f>IF(D33="","",VLOOKUP(D33,Preços!B:M,9,FALSE))</f>
        <v>68278.689180000001</v>
      </c>
      <c r="H33" s="20">
        <f>IF(D33="","",VLOOKUP(D33,Preços!B:M,8,FALSE))</f>
        <v>47821.347000000002</v>
      </c>
      <c r="I33" s="20">
        <f>H33*BDI_SERVIÇOS_MATERIAIS!$E$11</f>
        <v>13941.276940034648</v>
      </c>
      <c r="J33" s="20">
        <f>BDI_SERVIÇOS_MATERIAIS!$E$11*G33</f>
        <v>19905.171532724227</v>
      </c>
      <c r="K33" s="20">
        <f t="shared" si="7"/>
        <v>48132.821573535599</v>
      </c>
      <c r="L33" s="33">
        <v>884.9</v>
      </c>
      <c r="M33" s="22">
        <v>3</v>
      </c>
      <c r="N33" s="22">
        <f t="shared" si="8"/>
        <v>36.87083333333333</v>
      </c>
      <c r="O33" s="22">
        <f t="shared" si="10"/>
        <v>2.3671074999999999</v>
      </c>
      <c r="P33" s="33">
        <f t="shared" si="11"/>
        <v>19.996673274999999</v>
      </c>
      <c r="Q33" s="33"/>
      <c r="R33" s="33"/>
      <c r="S33" s="33"/>
      <c r="T33" s="33"/>
      <c r="U33" s="33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66"/>
      <c r="AI33" s="66"/>
      <c r="AJ33" s="21">
        <f>K33</f>
        <v>48132.821573535599</v>
      </c>
      <c r="AK33" s="29"/>
      <c r="AL33" s="29"/>
      <c r="AM33" s="29"/>
      <c r="AN33" s="20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0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19"/>
      <c r="CN33" s="19"/>
      <c r="CO33" s="29"/>
      <c r="CP33" s="29"/>
      <c r="CQ33" s="29"/>
      <c r="CR33" s="29"/>
      <c r="CS33" s="29"/>
      <c r="CT33" s="29"/>
      <c r="CU33" s="29"/>
      <c r="CV33" s="29"/>
      <c r="CW33" s="29"/>
      <c r="CX33" s="29"/>
    </row>
    <row r="34" spans="3:102" ht="28.8">
      <c r="C34" s="32" t="s">
        <v>399</v>
      </c>
      <c r="D34" s="31" t="s">
        <v>94</v>
      </c>
      <c r="E34" s="62">
        <v>29</v>
      </c>
      <c r="F34" s="32" t="str">
        <f>IF(D34="","",VLOOKUP(D34,Preços!B:C,2,FALSE))</f>
        <v>TE DE REDUCAO DE   2"X1"</v>
      </c>
      <c r="G34" s="20">
        <f>IF(D34="","",VLOOKUP(D34,Preços!B:M,9,FALSE))</f>
        <v>51376.784939999998</v>
      </c>
      <c r="H34" s="20">
        <f>IF(D34="","",VLOOKUP(D34,Preços!B:M,8,FALSE))</f>
        <v>25939.848480000001</v>
      </c>
      <c r="I34" s="20">
        <f>H34*BDI_SERVIÇOS_MATERIAIS!$E$11</f>
        <v>7562.2004424554752</v>
      </c>
      <c r="J34" s="20">
        <f>BDI_SERVIÇOS_MATERIAIS!$E$11*G34</f>
        <v>14977.787788728354</v>
      </c>
      <c r="K34" s="20">
        <f t="shared" si="7"/>
        <v>32053.975550030009</v>
      </c>
      <c r="L34" s="33">
        <v>480</v>
      </c>
      <c r="M34" s="22">
        <v>3</v>
      </c>
      <c r="N34" s="22">
        <f t="shared" si="8"/>
        <v>20</v>
      </c>
      <c r="O34" s="22">
        <f t="shared" si="10"/>
        <v>1.284</v>
      </c>
      <c r="P34" s="33">
        <f t="shared" si="11"/>
        <v>21.280673274999998</v>
      </c>
      <c r="Q34" s="33"/>
      <c r="R34" s="33"/>
      <c r="S34" s="33"/>
      <c r="T34" s="33"/>
      <c r="U34" s="33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66"/>
      <c r="AK34" s="66"/>
      <c r="AL34" s="21">
        <f>K34</f>
        <v>32053.975550030009</v>
      </c>
      <c r="AM34" s="29"/>
      <c r="AN34" s="29"/>
      <c r="AO34" s="20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0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19"/>
      <c r="CN34" s="19"/>
      <c r="CO34" s="29"/>
      <c r="CP34" s="29"/>
      <c r="CQ34" s="29"/>
      <c r="CR34" s="29"/>
      <c r="CS34" s="29"/>
      <c r="CT34" s="29"/>
      <c r="CU34" s="29"/>
      <c r="CV34" s="29"/>
      <c r="CW34" s="29"/>
      <c r="CX34" s="29"/>
    </row>
    <row r="35" spans="3:102" ht="28.8">
      <c r="C35" s="32" t="s">
        <v>399</v>
      </c>
      <c r="D35" s="31" t="s">
        <v>95</v>
      </c>
      <c r="E35" s="62">
        <v>30</v>
      </c>
      <c r="F35" s="32" t="str">
        <f>IF(D35="","",VLOOKUP(D35,Preços!B:C,2,FALSE))</f>
        <v>TE DE REDUCAO   2.1/2"X1"</v>
      </c>
      <c r="G35" s="20">
        <f>IF(D35="","",VLOOKUP(D35,Preços!B:M,9,FALSE))</f>
        <v>4448.9172600000002</v>
      </c>
      <c r="H35" s="20">
        <f>IF(D35="","",VLOOKUP(D35,Preços!B:M,8,FALSE))</f>
        <v>1335.1662799999999</v>
      </c>
      <c r="I35" s="20">
        <f>H35*BDI_SERVIÇOS_MATERIAIS!$E$11</f>
        <v>389.23878222158487</v>
      </c>
      <c r="J35" s="20">
        <f>BDI_SERVIÇOS_MATERIAIS!$E$11*G35</f>
        <v>1296.9853736022978</v>
      </c>
      <c r="K35" s="20">
        <f t="shared" si="7"/>
        <v>2397.9687703594664</v>
      </c>
      <c r="L35" s="33">
        <v>24.7</v>
      </c>
      <c r="M35" s="22">
        <v>2</v>
      </c>
      <c r="N35" s="22">
        <f t="shared" si="8"/>
        <v>1.54375</v>
      </c>
      <c r="O35" s="22">
        <f t="shared" si="10"/>
        <v>9.9108749999999995E-2</v>
      </c>
      <c r="P35" s="33">
        <f t="shared" si="11"/>
        <v>21.379782024999997</v>
      </c>
      <c r="Q35" s="33"/>
      <c r="R35" s="33"/>
      <c r="S35" s="33"/>
      <c r="T35" s="33"/>
      <c r="U35" s="33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1">
        <f>K35</f>
        <v>2397.9687703594664</v>
      </c>
      <c r="AM35" s="29"/>
      <c r="AN35" s="29"/>
      <c r="AO35" s="29"/>
      <c r="AP35" s="20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0"/>
      <c r="CD35" s="29"/>
      <c r="CE35" s="29"/>
      <c r="CF35" s="29"/>
      <c r="CG35" s="29"/>
      <c r="CH35" s="29"/>
      <c r="CI35" s="29"/>
      <c r="CJ35" s="29"/>
      <c r="CK35" s="29"/>
      <c r="CL35" s="29"/>
      <c r="CM35" s="19"/>
      <c r="CN35" s="19"/>
      <c r="CO35" s="29"/>
      <c r="CP35" s="29"/>
      <c r="CQ35" s="29"/>
      <c r="CR35" s="29"/>
      <c r="CS35" s="29"/>
      <c r="CT35" s="29"/>
      <c r="CU35" s="29"/>
      <c r="CV35" s="29"/>
      <c r="CW35" s="29"/>
      <c r="CX35" s="29"/>
    </row>
    <row r="36" spans="3:102" ht="28.8">
      <c r="C36" s="32" t="s">
        <v>399</v>
      </c>
      <c r="D36" s="31" t="s">
        <v>96</v>
      </c>
      <c r="E36" s="62">
        <v>31</v>
      </c>
      <c r="F36" s="32" t="str">
        <f>IF(D36="","",VLOOKUP(D36,Preços!B:C,2,FALSE))</f>
        <v>TE DE REDUCAO  DE 2.1/2" X 2"</v>
      </c>
      <c r="G36" s="20">
        <f>IF(D36="","",VLOOKUP(D36,Preços!B:M,9,FALSE))</f>
        <v>19934.567099999997</v>
      </c>
      <c r="H36" s="20">
        <f>IF(D36="","",VLOOKUP(D36,Preços!B:M,8,FALSE))</f>
        <v>5814.4337999999998</v>
      </c>
      <c r="I36" s="20">
        <f>H36*BDI_SERVIÇOS_MATERIAIS!$E$11</f>
        <v>1695.0721161262568</v>
      </c>
      <c r="J36" s="20">
        <f>BDI_SERVIÇOS_MATERIAIS!$E$11*G36</f>
        <v>5811.4908519996998</v>
      </c>
      <c r="K36" s="20">
        <f t="shared" si="7"/>
        <v>10675.03600166843</v>
      </c>
      <c r="L36" s="33">
        <v>107.6</v>
      </c>
      <c r="M36" s="22">
        <v>3</v>
      </c>
      <c r="N36" s="22">
        <f t="shared" si="8"/>
        <v>4.4833333333333334</v>
      </c>
      <c r="O36" s="22">
        <f t="shared" si="10"/>
        <v>0.28783000000000003</v>
      </c>
      <c r="P36" s="33">
        <f t="shared" si="11"/>
        <v>21.667612024999997</v>
      </c>
      <c r="Q36" s="33"/>
      <c r="R36" s="33"/>
      <c r="S36" s="33"/>
      <c r="T36" s="33"/>
      <c r="U36" s="33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1">
        <f>K36</f>
        <v>10675.03600166843</v>
      </c>
      <c r="AM36" s="29"/>
      <c r="AN36" s="29"/>
      <c r="AO36" s="29"/>
      <c r="AP36" s="29"/>
      <c r="AQ36" s="20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0"/>
      <c r="CE36" s="29"/>
      <c r="CF36" s="29"/>
      <c r="CG36" s="29"/>
      <c r="CH36" s="29"/>
      <c r="CI36" s="29"/>
      <c r="CJ36" s="29"/>
      <c r="CK36" s="29"/>
      <c r="CL36" s="29"/>
      <c r="CM36" s="19"/>
      <c r="CN36" s="19"/>
      <c r="CO36" s="29"/>
      <c r="CP36" s="29"/>
      <c r="CQ36" s="29"/>
      <c r="CR36" s="29"/>
      <c r="CS36" s="29"/>
      <c r="CT36" s="29"/>
      <c r="CU36" s="29"/>
      <c r="CV36" s="29"/>
      <c r="CW36" s="29"/>
      <c r="CX36" s="29"/>
    </row>
    <row r="37" spans="3:102" ht="28.8">
      <c r="C37" s="32" t="s">
        <v>399</v>
      </c>
      <c r="D37" s="31" t="s">
        <v>97</v>
      </c>
      <c r="E37" s="62">
        <v>32</v>
      </c>
      <c r="F37" s="32" t="str">
        <f>IF(D37="","",VLOOKUP(D37,Preços!B:C,2,FALSE))</f>
        <v>TE DE REDUCAO  DE 4" X 2"</v>
      </c>
      <c r="G37" s="20">
        <f>IF(D37="","",VLOOKUP(D37,Preços!B:M,9,FALSE))</f>
        <v>50638.049800000008</v>
      </c>
      <c r="H37" s="20">
        <f>IF(D37="","",VLOOKUP(D37,Preços!B:M,8,FALSE))</f>
        <v>5599.0843999999997</v>
      </c>
      <c r="I37" s="20">
        <f>H37*BDI_SERVIÇOS_MATERIAIS!$E$11</f>
        <v>1632.2916673808397</v>
      </c>
      <c r="J37" s="20">
        <f>BDI_SERVIÇOS_MATERIAIS!$E$11*G37</f>
        <v>14762.425574609309</v>
      </c>
      <c r="K37" s="20">
        <f t="shared" si="7"/>
        <v>23314.824312878842</v>
      </c>
      <c r="L37" s="33">
        <v>103.6</v>
      </c>
      <c r="M37" s="22">
        <v>3</v>
      </c>
      <c r="N37" s="22">
        <f t="shared" si="8"/>
        <v>4.3166666666666664</v>
      </c>
      <c r="O37" s="22">
        <f t="shared" si="10"/>
        <v>0.27712999999999999</v>
      </c>
      <c r="P37" s="33">
        <f t="shared" si="11"/>
        <v>21.944742024999996</v>
      </c>
      <c r="Q37" s="33"/>
      <c r="R37" s="33"/>
      <c r="S37" s="33"/>
      <c r="T37" s="33"/>
      <c r="U37" s="33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1">
        <f>K37</f>
        <v>23314.824312878842</v>
      </c>
      <c r="AM37" s="29"/>
      <c r="AN37" s="29"/>
      <c r="AO37" s="29"/>
      <c r="AP37" s="29"/>
      <c r="AQ37" s="20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D37" s="20"/>
      <c r="CF37" s="29"/>
      <c r="CG37" s="29"/>
      <c r="CH37" s="29"/>
      <c r="CI37" s="29"/>
      <c r="CJ37" s="29"/>
      <c r="CK37" s="29"/>
      <c r="CL37" s="29"/>
      <c r="CM37" s="19"/>
      <c r="CN37" s="19"/>
      <c r="CO37" s="29"/>
      <c r="CP37" s="29"/>
      <c r="CQ37" s="29"/>
      <c r="CR37" s="29"/>
      <c r="CS37" s="29"/>
      <c r="CT37" s="29"/>
      <c r="CU37" s="29"/>
      <c r="CV37" s="29"/>
      <c r="CW37" s="29"/>
      <c r="CX37" s="29"/>
    </row>
    <row r="38" spans="3:102" ht="28.8">
      <c r="C38" s="32" t="s">
        <v>399</v>
      </c>
      <c r="D38" s="31" t="s">
        <v>98</v>
      </c>
      <c r="E38" s="62">
        <v>33</v>
      </c>
      <c r="F38" s="32" t="str">
        <f>IF(D38="","",VLOOKUP(D38,Preços!B:C,2,FALSE))</f>
        <v>TE DE REDUCAO  DE 4" X 2.1/2"</v>
      </c>
      <c r="G38" s="20">
        <f>IF(D38="","",VLOOKUP(D38,Preços!B:M,9,FALSE))</f>
        <v>11602.369999999999</v>
      </c>
      <c r="H38" s="20">
        <f>IF(D38="","",VLOOKUP(D38,Preços!B:M,8,FALSE))</f>
        <v>1842.7640000000001</v>
      </c>
      <c r="I38" s="20">
        <f>H38*BDI_SERVIÇOS_MATERIAIS!$E$11</f>
        <v>537.21789265212476</v>
      </c>
      <c r="J38" s="20">
        <f>BDI_SERVIÇOS_MATERIAIS!$E$11*G38</f>
        <v>3382.4194314465831</v>
      </c>
      <c r="K38" s="20">
        <f t="shared" si="7"/>
        <v>5574.0915950356848</v>
      </c>
      <c r="L38" s="33">
        <v>34.1</v>
      </c>
      <c r="M38" s="22">
        <v>2</v>
      </c>
      <c r="N38" s="22">
        <f t="shared" si="8"/>
        <v>2.1312500000000001</v>
      </c>
      <c r="O38" s="22">
        <f t="shared" si="10"/>
        <v>0.13682625000000001</v>
      </c>
      <c r="P38" s="33">
        <f t="shared" si="11"/>
        <v>22.081568274999995</v>
      </c>
      <c r="Q38" s="33"/>
      <c r="R38" s="33"/>
      <c r="S38" s="33"/>
      <c r="T38" s="33"/>
      <c r="U38" s="33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1"/>
      <c r="AM38" s="21">
        <f>K38</f>
        <v>5574.0915950356848</v>
      </c>
      <c r="AN38" s="29"/>
      <c r="AO38" s="29"/>
      <c r="AP38" s="29"/>
      <c r="AQ38" s="20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0"/>
      <c r="CF38" s="29"/>
      <c r="CG38" s="29"/>
      <c r="CH38" s="29"/>
      <c r="CI38" s="29"/>
      <c r="CJ38" s="29"/>
      <c r="CK38" s="29"/>
      <c r="CL38" s="29"/>
      <c r="CM38" s="19"/>
      <c r="CN38" s="19"/>
      <c r="CO38" s="29"/>
      <c r="CP38" s="29"/>
      <c r="CQ38" s="29"/>
      <c r="CR38" s="29"/>
      <c r="CS38" s="29"/>
      <c r="CT38" s="29"/>
      <c r="CU38" s="29"/>
      <c r="CV38" s="29"/>
      <c r="CW38" s="29"/>
      <c r="CX38" s="29"/>
    </row>
    <row r="39" spans="3:102" ht="72">
      <c r="C39" s="32" t="s">
        <v>399</v>
      </c>
      <c r="D39" s="31" t="s">
        <v>143</v>
      </c>
      <c r="E39" s="62">
        <v>34</v>
      </c>
      <c r="F39" s="32" t="str">
        <f>IF(D39="","",VLOOKUP(D39,Preços!B:C,2,FALSE))</f>
        <v>TÊ, EM FERRO GALVANIZADO, CONEXÃO ROSQUEADA, DN 25 (1"), INSTALADO EM REDE DE ALIMENTAÇÃO PARA SPRINKLER - FORNECIMENTO E INSTALAÇÃO. AF_10/2020</v>
      </c>
      <c r="G39" s="20">
        <f>IF(D39="","",VLOOKUP(D39,Preços!B:M,9,FALSE))</f>
        <v>15956.8644</v>
      </c>
      <c r="H39" s="20">
        <f>IF(D39="","",VLOOKUP(D39,Preços!B:M,8,FALSE))</f>
        <v>22539.759760000001</v>
      </c>
      <c r="I39" s="20">
        <f>H39*BDI_SERVIÇOS_MATERIAIS!$E$11</f>
        <v>6570.9782908459038</v>
      </c>
      <c r="J39" s="20">
        <f>BDI_SERVIÇOS_MATERIAIS!$E$11*G39</f>
        <v>4651.87786732523</v>
      </c>
      <c r="K39" s="20">
        <f t="shared" si="7"/>
        <v>15959.953182132935</v>
      </c>
      <c r="L39" s="33">
        <v>417.1</v>
      </c>
      <c r="M39" s="22">
        <v>3</v>
      </c>
      <c r="N39" s="22">
        <f t="shared" si="8"/>
        <v>17.379166666666666</v>
      </c>
      <c r="O39" s="22">
        <f t="shared" si="10"/>
        <v>1.1157424999999999</v>
      </c>
      <c r="P39" s="33">
        <f t="shared" si="11"/>
        <v>23.197310774999995</v>
      </c>
      <c r="Q39" s="33"/>
      <c r="R39" s="33"/>
      <c r="S39" s="33"/>
      <c r="T39" s="33"/>
      <c r="U39" s="33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1">
        <f t="shared" ref="AN39:AN44" si="12">K39</f>
        <v>15959.953182132935</v>
      </c>
      <c r="AO39" s="29"/>
      <c r="AP39" s="29"/>
      <c r="AQ39" s="29"/>
      <c r="AR39" s="20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0"/>
      <c r="CJ39" s="29"/>
      <c r="CK39" s="29"/>
      <c r="CL39" s="29"/>
      <c r="CM39" s="19"/>
      <c r="CN39" s="19"/>
      <c r="CO39" s="29"/>
      <c r="CP39" s="29"/>
      <c r="CQ39" s="29"/>
      <c r="CR39" s="29"/>
      <c r="CS39" s="29"/>
      <c r="CT39" s="29"/>
      <c r="CU39" s="29"/>
      <c r="CV39" s="29"/>
      <c r="CW39" s="29"/>
      <c r="CX39" s="29"/>
    </row>
    <row r="40" spans="3:102" ht="28.8">
      <c r="C40" s="32" t="s">
        <v>399</v>
      </c>
      <c r="D40" s="31" t="s">
        <v>144</v>
      </c>
      <c r="E40" s="62">
        <v>35</v>
      </c>
      <c r="F40" s="32" t="str">
        <f>IF(D40="","",VLOOKUP(D40,Preços!B:C,2,FALSE))</f>
        <v>TE DE ACO GALVANIZADO 4" - FORNECIMENTO E INSTALACAO</v>
      </c>
      <c r="G40" s="20">
        <f>IF(D40="","",VLOOKUP(D40,Preços!B:M,9,FALSE))</f>
        <v>3260.8999999999996</v>
      </c>
      <c r="H40" s="20">
        <f>IF(D40="","",VLOOKUP(D40,Preços!B:M,8,FALSE))</f>
        <v>569.57999999999993</v>
      </c>
      <c r="I40" s="20">
        <f>H40*BDI_SERVIÇOS_MATERIAIS!$E$11</f>
        <v>166.04870037443598</v>
      </c>
      <c r="J40" s="20">
        <f>BDI_SERVIÇOS_MATERIAIS!$E$11*G40</f>
        <v>950.64469793707349</v>
      </c>
      <c r="K40" s="20">
        <f t="shared" si="7"/>
        <v>1588.0426608579944</v>
      </c>
      <c r="L40" s="33">
        <v>11</v>
      </c>
      <c r="M40" s="22">
        <v>2</v>
      </c>
      <c r="N40" s="22">
        <f t="shared" si="8"/>
        <v>0.6875</v>
      </c>
      <c r="O40" s="22">
        <f t="shared" si="10"/>
        <v>4.4137500000000003E-2</v>
      </c>
      <c r="P40" s="33">
        <f t="shared" si="11"/>
        <v>23.241448274999996</v>
      </c>
      <c r="Q40" s="33"/>
      <c r="R40" s="33"/>
      <c r="S40" s="33"/>
      <c r="T40" s="33"/>
      <c r="U40" s="33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1">
        <f t="shared" si="12"/>
        <v>1588.0426608579944</v>
      </c>
      <c r="AO40" s="29"/>
      <c r="AP40" s="29"/>
      <c r="AQ40" s="29"/>
      <c r="AR40" s="29"/>
      <c r="AS40" s="20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0"/>
      <c r="CJ40" s="29"/>
      <c r="CK40" s="29"/>
      <c r="CL40" s="29"/>
      <c r="CM40" s="19"/>
      <c r="CN40" s="19"/>
      <c r="CO40" s="29"/>
      <c r="CP40" s="29"/>
      <c r="CQ40" s="29"/>
      <c r="CR40" s="29"/>
      <c r="CS40" s="29"/>
      <c r="CT40" s="29"/>
      <c r="CU40" s="29"/>
      <c r="CV40" s="29"/>
      <c r="CW40" s="29"/>
      <c r="CX40" s="29"/>
    </row>
    <row r="41" spans="3:102" ht="43.2">
      <c r="C41" s="32" t="s">
        <v>399</v>
      </c>
      <c r="D41" s="31" t="s">
        <v>145</v>
      </c>
      <c r="E41" s="62">
        <v>36</v>
      </c>
      <c r="F41" s="32" t="str">
        <f>IF(D41="","",VLOOKUP(D41,Preços!B:C,2,FALSE))</f>
        <v>BUCHA DE REDUCAO DE FERRO GALVANIZADO, COM ROSCA BSP, DE 1" X 3/4"</v>
      </c>
      <c r="G41" s="20">
        <f>IF(D41="","",VLOOKUP(D41,Preços!B:M,9,FALSE))</f>
        <v>2594.7019</v>
      </c>
      <c r="H41" s="20">
        <f>IF(D41="","",VLOOKUP(D41,Preços!B:M,8,FALSE))</f>
        <v>3985.1797999999999</v>
      </c>
      <c r="I41" s="20">
        <f>H41*BDI_SERVIÇOS_MATERIAIS!$E$11</f>
        <v>1161.792771074221</v>
      </c>
      <c r="J41" s="20">
        <f>BDI_SERVIÇOS_MATERIAIS!$E$11*G41</f>
        <v>756.42908521029494</v>
      </c>
      <c r="K41" s="20">
        <f t="shared" si="7"/>
        <v>2727.8912415673294</v>
      </c>
      <c r="L41" s="33">
        <v>73.7</v>
      </c>
      <c r="M41" s="22">
        <v>2</v>
      </c>
      <c r="N41" s="22">
        <f t="shared" si="8"/>
        <v>4.6062500000000002</v>
      </c>
      <c r="O41" s="22">
        <f>(N41/5)*32.1%</f>
        <v>0.29572124999999999</v>
      </c>
      <c r="P41" s="33">
        <f t="shared" si="11"/>
        <v>23.537169524999996</v>
      </c>
      <c r="Q41" s="33"/>
      <c r="R41" s="33"/>
      <c r="S41" s="33"/>
      <c r="T41" s="33"/>
      <c r="U41" s="33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1">
        <f t="shared" si="12"/>
        <v>2727.8912415673294</v>
      </c>
      <c r="AO41" s="29"/>
      <c r="AP41" s="29"/>
      <c r="AQ41" s="29"/>
      <c r="AR41" s="29"/>
      <c r="AS41" s="29"/>
      <c r="AT41" s="29"/>
      <c r="AU41" s="29"/>
      <c r="AV41" s="20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0"/>
      <c r="CK41" s="20"/>
      <c r="CL41" s="20"/>
      <c r="CM41" s="19"/>
      <c r="CN41" s="19"/>
      <c r="CO41" s="20"/>
      <c r="CP41" s="20"/>
      <c r="CQ41" s="20"/>
      <c r="CR41" s="20"/>
      <c r="CS41" s="20"/>
      <c r="CT41" s="20"/>
      <c r="CU41" s="20"/>
      <c r="CV41" s="20"/>
      <c r="CW41" s="29"/>
      <c r="CX41" s="29"/>
    </row>
    <row r="42" spans="3:102" ht="28.8">
      <c r="C42" s="32" t="s">
        <v>399</v>
      </c>
      <c r="D42" s="31" t="s">
        <v>146</v>
      </c>
      <c r="E42" s="62">
        <v>37</v>
      </c>
      <c r="F42" s="32" t="str">
        <f>IF(D42="","",VLOOKUP(D42,Preços!B:C,2,FALSE))</f>
        <v>VALVULA ESFERA AÇO GALVANIZADO   1.1/4" - FORCECIMENTO E INSTALAÇÃO</v>
      </c>
      <c r="G42" s="20">
        <f>Preços!J222</f>
        <v>422.18824000000001</v>
      </c>
      <c r="H42" s="20">
        <f>Preços!I222</f>
        <v>170.55024</v>
      </c>
      <c r="I42" s="20">
        <f>H42*BDI_SERVIÇOS_MATERIAIS!$E$11</f>
        <v>49.720224903522158</v>
      </c>
      <c r="J42" s="20">
        <f>BDI_SERVIÇOS_MATERIAIS!$E$11*G42</f>
        <v>123.07982823373447</v>
      </c>
      <c r="K42" s="20">
        <f>(G42+H42+I42+J42)*32.1%</f>
        <v>245.73786913705939</v>
      </c>
      <c r="L42" s="33">
        <v>3</v>
      </c>
      <c r="M42" s="22">
        <v>2</v>
      </c>
      <c r="N42" s="22">
        <f t="shared" si="8"/>
        <v>0.1875</v>
      </c>
      <c r="O42" s="22">
        <f t="shared" si="10"/>
        <v>1.20375E-2</v>
      </c>
      <c r="P42" s="33">
        <f t="shared" si="11"/>
        <v>23.549207024999998</v>
      </c>
      <c r="Q42" s="33"/>
      <c r="R42" s="33"/>
      <c r="S42" s="33"/>
      <c r="T42" s="33"/>
      <c r="U42" s="33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1">
        <f t="shared" si="12"/>
        <v>245.73786913705939</v>
      </c>
      <c r="AO42" s="29"/>
      <c r="AP42" s="29"/>
      <c r="AQ42" s="29"/>
      <c r="AR42" s="29"/>
      <c r="AS42" s="29"/>
      <c r="AT42" s="29"/>
      <c r="AU42" s="29"/>
      <c r="AV42" s="20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0"/>
      <c r="CK42" s="20"/>
      <c r="CL42" s="20"/>
      <c r="CM42" s="19"/>
      <c r="CN42" s="19"/>
      <c r="CO42" s="20"/>
      <c r="CP42" s="20"/>
      <c r="CQ42" s="20"/>
      <c r="CR42" s="20"/>
      <c r="CS42" s="20"/>
      <c r="CT42" s="20"/>
      <c r="CU42" s="20"/>
      <c r="CV42" s="20"/>
      <c r="CW42" s="29"/>
      <c r="CX42" s="29"/>
    </row>
    <row r="43" spans="3:102" ht="28.8">
      <c r="C43" s="32" t="s">
        <v>399</v>
      </c>
      <c r="D43" s="31" t="s">
        <v>147</v>
      </c>
      <c r="E43" s="62">
        <v>38</v>
      </c>
      <c r="F43" s="32" t="str">
        <f>IF(D43="","",VLOOKUP(D43,Preços!B:C,2,FALSE))</f>
        <v>REGISTRO DE  RECALQUE DUPLO</v>
      </c>
      <c r="G43" s="20">
        <f>IF(D43="","",VLOOKUP(D43,Preços!B:M,9,FALSE))</f>
        <v>1614.27</v>
      </c>
      <c r="H43" s="20">
        <f>IF(D43="","",VLOOKUP(D43,Preços!B:M,8,FALSE))</f>
        <v>103.56</v>
      </c>
      <c r="I43" s="20">
        <f>H43*BDI_SERVIÇOS_MATERIAIS!$E$11</f>
        <v>30.190672795352</v>
      </c>
      <c r="J43" s="20">
        <f>BDI_SERVIÇOS_MATERIAIS!$E$11*G43</f>
        <v>470.60542075466276</v>
      </c>
      <c r="K43" s="20">
        <f t="shared" si="7"/>
        <v>712.17897602955463</v>
      </c>
      <c r="L43" s="33">
        <v>4</v>
      </c>
      <c r="M43" s="22">
        <v>2</v>
      </c>
      <c r="N43" s="22">
        <f t="shared" si="8"/>
        <v>0.25</v>
      </c>
      <c r="O43" s="22">
        <f t="shared" si="10"/>
        <v>1.6050000000000002E-2</v>
      </c>
      <c r="P43" s="33">
        <f t="shared" si="11"/>
        <v>23.565257024999998</v>
      </c>
      <c r="Q43" s="33"/>
      <c r="R43" s="33"/>
      <c r="S43" s="33"/>
      <c r="T43" s="33"/>
      <c r="U43" s="33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1">
        <f t="shared" si="12"/>
        <v>712.17897602955463</v>
      </c>
      <c r="AO43" s="29"/>
      <c r="AP43" s="29"/>
      <c r="AQ43" s="29"/>
      <c r="AR43" s="29"/>
      <c r="AS43" s="29"/>
      <c r="AT43" s="29"/>
      <c r="AU43" s="29"/>
      <c r="AV43" s="20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0"/>
      <c r="CK43" s="20"/>
      <c r="CL43" s="20"/>
      <c r="CM43" s="19"/>
      <c r="CN43" s="19"/>
      <c r="CO43" s="20"/>
      <c r="CP43" s="20"/>
      <c r="CQ43" s="20"/>
      <c r="CR43" s="20"/>
      <c r="CS43" s="20"/>
      <c r="CT43" s="20"/>
      <c r="CU43" s="20"/>
      <c r="CV43" s="20"/>
      <c r="CW43" s="29"/>
      <c r="CX43" s="29"/>
    </row>
    <row r="44" spans="3:102" ht="28.8">
      <c r="C44" s="32" t="s">
        <v>399</v>
      </c>
      <c r="D44" s="31" t="s">
        <v>63</v>
      </c>
      <c r="E44" s="62">
        <v>39</v>
      </c>
      <c r="F44" s="32" t="str">
        <f>IF(D44="","",VLOOKUP(D44,Preços!B:C,2,FALSE))</f>
        <v xml:space="preserve">SPK PENDENTE K11 ( K160) RESPOSTA PADRÃO - COBERTURA </v>
      </c>
      <c r="G44" s="20">
        <f>IF(D44="","",VLOOKUP(D44,Preços!B:M,9,FALSE))</f>
        <v>66811.997399999993</v>
      </c>
      <c r="H44" s="20">
        <f>Preços!I81</f>
        <v>5050.0380000000005</v>
      </c>
      <c r="I44" s="20">
        <f>H44*BDI_SERVIÇOS_MATERIAIS!$E$11</f>
        <v>1472.2290929132275</v>
      </c>
      <c r="J44" s="20">
        <f>BDI_SERVIÇOS_MATERIAIS!$E$11*G44</f>
        <v>19477.589342480769</v>
      </c>
      <c r="K44" s="20">
        <f t="shared" si="7"/>
        <v>29792.605081161473</v>
      </c>
      <c r="L44" s="33">
        <f>1335*0.1</f>
        <v>133.5</v>
      </c>
      <c r="M44" s="22">
        <v>3</v>
      </c>
      <c r="N44" s="22">
        <f t="shared" si="8"/>
        <v>5.5625</v>
      </c>
      <c r="O44" s="22">
        <f t="shared" si="10"/>
        <v>0.3571125</v>
      </c>
      <c r="P44" s="33">
        <f>P43+O44</f>
        <v>23.922369524999997</v>
      </c>
      <c r="Q44" s="33"/>
      <c r="R44" s="33"/>
      <c r="S44" s="33"/>
      <c r="T44" s="33"/>
      <c r="U44" s="33"/>
      <c r="V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1">
        <f t="shared" si="12"/>
        <v>29792.605081161473</v>
      </c>
      <c r="AO44" s="29"/>
      <c r="AP44" s="29"/>
      <c r="AQ44" s="29"/>
      <c r="AR44" s="29"/>
      <c r="AS44" s="29"/>
      <c r="AT44" s="29"/>
      <c r="AU44" s="29"/>
      <c r="AV44" s="29"/>
      <c r="AW44" s="20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0"/>
      <c r="CL44" s="29"/>
      <c r="CM44" s="19"/>
      <c r="CN44" s="19"/>
      <c r="CO44" s="29"/>
      <c r="CP44" s="29"/>
      <c r="CQ44" s="29"/>
      <c r="CR44" s="29"/>
      <c r="CS44" s="29"/>
      <c r="CT44" s="29"/>
      <c r="CU44" s="29"/>
      <c r="CV44" s="29"/>
      <c r="CW44" s="29"/>
      <c r="CX44" s="29"/>
    </row>
    <row r="45" spans="3:102" ht="28.8">
      <c r="C45" s="32" t="s">
        <v>399</v>
      </c>
      <c r="D45" s="31" t="s">
        <v>64</v>
      </c>
      <c r="E45" s="62">
        <v>40</v>
      </c>
      <c r="F45" s="32" t="str">
        <f>IF(D45="","",VLOOKUP(D45,Preços!B:C,2,FALSE))</f>
        <v xml:space="preserve">SPK PENDENTE K8 ( K115) RESPOSTA RÁPIDA - INTERMEDIÁRIO </v>
      </c>
      <c r="G45" s="20">
        <f>IF(D45="","",VLOOKUP(D45,Preços!B:M,9,FALSE))</f>
        <v>125368.16472</v>
      </c>
      <c r="H45" s="20">
        <f>Preços!I86</f>
        <v>9600.7464</v>
      </c>
      <c r="I45" s="20">
        <f>H45*BDI_SERVIÇOS_MATERIAIS!$E$11</f>
        <v>2798.8894665271696</v>
      </c>
      <c r="J45" s="20">
        <f>BDI_SERVIÇOS_MATERIAIS!$E$11*G45</f>
        <v>36548.370413434845</v>
      </c>
      <c r="K45" s="20">
        <f t="shared" si="7"/>
        <v>55955.490890987807</v>
      </c>
      <c r="L45" s="33">
        <f>2538*0.1</f>
        <v>253.8</v>
      </c>
      <c r="M45" s="22">
        <v>3</v>
      </c>
      <c r="N45" s="22">
        <f t="shared" si="8"/>
        <v>10.575000000000001</v>
      </c>
      <c r="O45" s="22">
        <f>(N45/5)*32.1%</f>
        <v>0.67891500000000005</v>
      </c>
      <c r="P45" s="33">
        <f t="shared" ref="P45" si="13">O45+P44</f>
        <v>24.601284524999997</v>
      </c>
      <c r="Q45" s="33"/>
      <c r="R45" s="33"/>
      <c r="S45" s="33"/>
      <c r="T45" s="33"/>
      <c r="U45" s="33"/>
      <c r="V45" s="29"/>
      <c r="W45" s="29"/>
      <c r="X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66"/>
      <c r="AO45" s="21">
        <f>K45</f>
        <v>55955.490890987807</v>
      </c>
      <c r="AP45" s="29"/>
      <c r="AQ45" s="29"/>
      <c r="AR45" s="29"/>
      <c r="AS45" s="29"/>
      <c r="AT45" s="29"/>
      <c r="AU45" s="29"/>
      <c r="AV45" s="29"/>
      <c r="AW45" s="20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M45" s="19"/>
      <c r="CN45" s="19"/>
      <c r="CO45" s="29"/>
      <c r="CP45" s="29"/>
      <c r="CQ45" s="29"/>
      <c r="CR45" s="29"/>
      <c r="CS45" s="29"/>
      <c r="CT45" s="29"/>
      <c r="CU45" s="29"/>
      <c r="CV45" s="29"/>
      <c r="CW45" s="29"/>
      <c r="CX45" s="29"/>
    </row>
    <row r="46" spans="3:102" ht="86.4">
      <c r="C46" s="32" t="s">
        <v>400</v>
      </c>
      <c r="D46" s="31" t="s">
        <v>65</v>
      </c>
      <c r="E46" s="62">
        <v>41</v>
      </c>
      <c r="F46" s="32" t="str">
        <f>IF(D46="","",VLOOKUP(D46,Preços!B:C,2,FALSE))</f>
        <v>TUBO DE AÇO GALVANIZADO COM COSTURA, CLASSE MÉDIA, CONEXÃO ROSQUEADA, DN 25 (1"), INSTALADO EM REDE DE ALIMENTAÇÃO PARA SPRINKLER - FORNECIMENTO E INSTALAÇÃO. AF_10/2020</v>
      </c>
      <c r="G46" s="20">
        <f>G17</f>
        <v>71310.436118999991</v>
      </c>
      <c r="H46" s="20">
        <f>H17</f>
        <v>20877.489360000003</v>
      </c>
      <c r="I46" s="20">
        <f>H46*BDI_SERVIÇOS_MATERIAIS!$E$11</f>
        <v>6086.3793941309668</v>
      </c>
      <c r="J46" s="20">
        <f>BDI_SERVIÇOS_MATERIAIS!$E$11*G46</f>
        <v>20789.011623817882</v>
      </c>
      <c r="K46" s="20">
        <f t="shared" ref="K46:K74" si="14">(G46+H46+I46+J46)*31.1%</f>
        <v>37028.691430551095</v>
      </c>
      <c r="L46" s="33">
        <v>386.3</v>
      </c>
      <c r="M46" s="22">
        <v>2</v>
      </c>
      <c r="N46" s="22">
        <f t="shared" ref="N46:N47" si="15">ROUNDUP((L46/M46)/$D$2,0)</f>
        <v>25</v>
      </c>
      <c r="O46" s="22">
        <f>(ROUNDUP(N46/5,1))*31.1%</f>
        <v>1.5549999999999999</v>
      </c>
      <c r="P46" s="33">
        <f>P45+O46</f>
        <v>26.156284524999997</v>
      </c>
      <c r="Q46" s="33"/>
      <c r="R46" s="33"/>
      <c r="S46" s="33"/>
      <c r="T46" s="33"/>
      <c r="U46" s="33"/>
      <c r="V46" s="29"/>
      <c r="W46" s="29"/>
      <c r="X46" s="29"/>
      <c r="Y46" s="20"/>
      <c r="Z46" s="29"/>
      <c r="AA46" s="29"/>
      <c r="AB46" s="29"/>
      <c r="AC46" s="29"/>
      <c r="AD46" s="20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66"/>
      <c r="AP46" s="73"/>
      <c r="AQ46" s="21">
        <f>K46</f>
        <v>37028.691430551095</v>
      </c>
      <c r="AR46" s="29"/>
      <c r="AS46" s="29"/>
      <c r="AT46" s="29"/>
      <c r="AU46" s="29"/>
      <c r="AV46" s="29"/>
      <c r="AW46" s="29"/>
      <c r="AX46" s="29"/>
      <c r="AY46" s="27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19"/>
      <c r="CN46" s="19"/>
      <c r="CO46" s="29"/>
      <c r="CP46" s="29"/>
      <c r="CQ46" s="29"/>
      <c r="CR46" s="29"/>
      <c r="CS46" s="29"/>
      <c r="CT46" s="29"/>
      <c r="CU46" s="29"/>
      <c r="CV46" s="29"/>
      <c r="CW46" s="29"/>
      <c r="CX46" s="29"/>
    </row>
    <row r="47" spans="3:102" ht="86.4">
      <c r="C47" s="32" t="s">
        <v>400</v>
      </c>
      <c r="D47" s="31" t="s">
        <v>66</v>
      </c>
      <c r="E47" s="62">
        <v>42</v>
      </c>
      <c r="F47" s="32" t="str">
        <f>IF(D47="","",VLOOKUP(D47,Preços!B:C,2,FALSE))</f>
        <v>TUBO DE AÇO GALVANIZADO COM COSTURA, CLASSE MÉDIA, CONEXÃO ROSQUEADA, DN 32 (1 1/4"), INSTALADO EM  REDE DE ALIMENTAÇÃO PARA SPRINKLER - FORNECIMENTO E INSTALAÇÃO. AF_10/2020</v>
      </c>
      <c r="G47" s="20">
        <f>G18</f>
        <v>3147.1309999999999</v>
      </c>
      <c r="H47" s="20">
        <f>H18</f>
        <v>820.54335999999989</v>
      </c>
      <c r="I47" s="20">
        <f>H47*BDI_SERVIÇOS_MATERIAIS!$E$11</f>
        <v>239.21162703899884</v>
      </c>
      <c r="J47" s="20">
        <f>BDI_SERVIÇOS_MATERIAIS!$E$11*G47</f>
        <v>917.47781252519246</v>
      </c>
      <c r="K47" s="20">
        <f t="shared" si="14"/>
        <v>1593.6771416644635</v>
      </c>
      <c r="L47" s="33">
        <v>15.2</v>
      </c>
      <c r="M47" s="22">
        <v>2</v>
      </c>
      <c r="N47" s="22">
        <f t="shared" si="15"/>
        <v>1</v>
      </c>
      <c r="O47" s="22">
        <f t="shared" ref="O47:O74" si="16">ROUNDUP(N47/5,1)*31.1%</f>
        <v>6.2200000000000005E-2</v>
      </c>
      <c r="P47" s="33">
        <f t="shared" ref="P47:P58" si="17">O47+P46</f>
        <v>26.218484524999997</v>
      </c>
      <c r="Q47" s="33"/>
      <c r="R47" s="33"/>
      <c r="S47" s="33"/>
      <c r="T47" s="33"/>
      <c r="U47" s="33"/>
      <c r="V47" s="29"/>
      <c r="W47" s="29"/>
      <c r="X47" s="29"/>
      <c r="Y47" s="29"/>
      <c r="Z47" s="29"/>
      <c r="AA47" s="29"/>
      <c r="AB47" s="29"/>
      <c r="AC47" s="29"/>
      <c r="AD47" s="20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1">
        <f>K47</f>
        <v>1593.6771416644635</v>
      </c>
      <c r="AR47" s="29"/>
      <c r="AS47" s="29"/>
      <c r="AT47" s="29"/>
      <c r="AU47" s="29"/>
      <c r="AV47" s="29"/>
      <c r="AW47" s="29"/>
      <c r="AX47" s="29"/>
      <c r="AY47" s="27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19"/>
      <c r="CN47" s="19"/>
      <c r="CO47" s="29"/>
      <c r="CP47" s="29"/>
      <c r="CQ47" s="29"/>
      <c r="CR47" s="29"/>
      <c r="CS47" s="29"/>
      <c r="CT47" s="29"/>
      <c r="CU47" s="29"/>
      <c r="CV47" s="29"/>
      <c r="CW47" s="29"/>
      <c r="CX47" s="29"/>
    </row>
    <row r="48" spans="3:102" ht="86.4">
      <c r="C48" s="32" t="s">
        <v>400</v>
      </c>
      <c r="D48" s="31" t="s">
        <v>67</v>
      </c>
      <c r="E48" s="62">
        <v>43</v>
      </c>
      <c r="F48" s="32" t="str">
        <f>IF(D48="","",VLOOKUP(D48,Preços!B:C,2,FALSE))</f>
        <v>TUBO DE AÇO GALVANIZADO COM COSTURA, CLASSE MÉDIA, CONEXÃO ROSQUEADA, DN 40 (1 1/2"), INSTALADO EM REDE DE ALIMENTAÇÃO PARA SPRINKLER - FORNECIMENTO E INSTALAÇÃO. AF_10/2020</v>
      </c>
      <c r="G48" s="20">
        <f t="shared" ref="G48:H74" si="18">G19</f>
        <v>261933.10523999998</v>
      </c>
      <c r="H48" s="20">
        <f t="shared" si="18"/>
        <v>58795.087679999997</v>
      </c>
      <c r="I48" s="20">
        <f>H48*BDI_SERVIÇOS_MATERIAIS!$E$11</f>
        <v>17140.433122063649</v>
      </c>
      <c r="J48" s="20">
        <f>BDI_SERVIÇOS_MATERIAIS!$E$11*G48</f>
        <v>76360.918062681929</v>
      </c>
      <c r="K48" s="20">
        <f t="shared" si="14"/>
        <v>128825.38821657586</v>
      </c>
      <c r="L48" s="33">
        <v>1088</v>
      </c>
      <c r="M48" s="22">
        <v>3</v>
      </c>
      <c r="N48" s="22">
        <f>ROUNDUP((L48/M48)/$D$2,0)</f>
        <v>46</v>
      </c>
      <c r="O48" s="22">
        <f t="shared" si="16"/>
        <v>2.8611999999999997</v>
      </c>
      <c r="P48" s="33">
        <f t="shared" si="17"/>
        <v>29.079684524999998</v>
      </c>
      <c r="Q48" s="33"/>
      <c r="R48" s="33"/>
      <c r="S48" s="33"/>
      <c r="T48" s="33"/>
      <c r="U48" s="33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0"/>
      <c r="AH48" s="29"/>
      <c r="AI48" s="29"/>
      <c r="AJ48" s="29"/>
      <c r="AK48" s="29"/>
      <c r="AL48" s="29"/>
      <c r="AM48" s="20"/>
      <c r="AN48" s="29"/>
      <c r="AO48" s="29"/>
      <c r="AP48" s="29"/>
      <c r="AQ48" s="66"/>
      <c r="AR48" s="66"/>
      <c r="AS48" s="73"/>
      <c r="AT48" s="21">
        <f>K48</f>
        <v>128825.38821657586</v>
      </c>
      <c r="AU48" s="29"/>
      <c r="AV48" s="29"/>
      <c r="AW48" s="29"/>
      <c r="AX48" s="29"/>
      <c r="AY48" s="29"/>
      <c r="AZ48" s="29"/>
      <c r="BA48" s="29"/>
      <c r="BB48" s="27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19"/>
      <c r="CN48" s="19"/>
      <c r="CO48" s="29"/>
      <c r="CP48" s="29"/>
      <c r="CQ48" s="29"/>
      <c r="CR48" s="29"/>
      <c r="CS48" s="29"/>
      <c r="CT48" s="29"/>
      <c r="CU48" s="29"/>
      <c r="CV48" s="29"/>
      <c r="CW48" s="29"/>
      <c r="CX48" s="29"/>
    </row>
    <row r="49" spans="3:102" ht="86.4">
      <c r="C49" s="32" t="s">
        <v>400</v>
      </c>
      <c r="D49" s="31" t="s">
        <v>68</v>
      </c>
      <c r="E49" s="62">
        <v>44</v>
      </c>
      <c r="F49" s="32" t="str">
        <f>IF(D49="","",VLOOKUP(D49,Preços!B:C,2,FALSE))</f>
        <v>TUBO DE AÇO GALVANIZADO COM COSTURA, CLASSE MÉDIA, CONEXÃO ROSQUEADA, DN 50 (2"), INSTALADO EM REDE DE ALIMENTAÇÃO PARA SPRINKLER - FORNECIMENTO E INSTALAÇÃO. AF_10/2020</v>
      </c>
      <c r="G49" s="20">
        <f t="shared" si="18"/>
        <v>316069.67034999997</v>
      </c>
      <c r="H49" s="20">
        <f t="shared" si="18"/>
        <v>52731.016100000001</v>
      </c>
      <c r="I49" s="20">
        <f>H49*BDI_SERVIÇOS_MATERIAIS!$E$11</f>
        <v>15372.584523382951</v>
      </c>
      <c r="J49" s="20">
        <f>BDI_SERVIÇOS_MATERIAIS!$E$11*G49</f>
        <v>92143.259927304156</v>
      </c>
      <c r="K49" s="20">
        <f t="shared" si="14"/>
        <v>148134.44111011369</v>
      </c>
      <c r="L49" s="33">
        <v>975.8</v>
      </c>
      <c r="M49" s="22">
        <v>3</v>
      </c>
      <c r="N49" s="22">
        <f t="shared" ref="N49:N74" si="19">ROUNDUP((L49/M49)/$D$2,0)</f>
        <v>41</v>
      </c>
      <c r="O49" s="22">
        <f t="shared" si="16"/>
        <v>2.5501999999999998</v>
      </c>
      <c r="P49" s="33">
        <f t="shared" si="17"/>
        <v>31.629884524999998</v>
      </c>
      <c r="Q49" s="33"/>
      <c r="R49" s="33"/>
      <c r="S49" s="33"/>
      <c r="T49" s="33"/>
      <c r="U49" s="33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0"/>
      <c r="AN49" s="29"/>
      <c r="AO49" s="29"/>
      <c r="AP49" s="29"/>
      <c r="AQ49" s="29"/>
      <c r="AR49" s="29"/>
      <c r="AS49" s="29"/>
      <c r="AT49" s="66"/>
      <c r="AU49" s="73"/>
      <c r="AV49" s="21">
        <f>K49</f>
        <v>148134.44111011369</v>
      </c>
      <c r="AW49" s="29"/>
      <c r="AX49" s="29"/>
      <c r="AY49" s="29"/>
      <c r="AZ49" s="29"/>
      <c r="BA49" s="29"/>
      <c r="BB49" s="29"/>
      <c r="BC49" s="29"/>
      <c r="BD49" s="27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19"/>
      <c r="CN49" s="19"/>
      <c r="CO49" s="29"/>
      <c r="CP49" s="29"/>
      <c r="CQ49" s="29"/>
      <c r="CR49" s="29"/>
      <c r="CS49" s="29"/>
      <c r="CT49" s="29"/>
      <c r="CU49" s="29"/>
      <c r="CV49" s="29"/>
      <c r="CW49" s="29"/>
      <c r="CX49" s="29"/>
    </row>
    <row r="50" spans="3:102" ht="86.4">
      <c r="C50" s="32" t="s">
        <v>400</v>
      </c>
      <c r="D50" s="31" t="s">
        <v>69</v>
      </c>
      <c r="E50" s="62">
        <v>45</v>
      </c>
      <c r="F50" s="32" t="str">
        <f>IF(D50="","",VLOOKUP(D50,Preços!B:C,2,FALSE))</f>
        <v>TUBO DE AÇO GALVANIZADO COM COSTURA, CLASSE MÉDIA, CONEXÃO ROSQUEADA, DN 65 (2 1/2"), INSTALADO EM REDE DE ALIMENTAÇÃO PARA SPRINKLER - FORNECIMENTO E INSTALAÇÃO. AF_10/2020</v>
      </c>
      <c r="G50" s="20">
        <f t="shared" si="18"/>
        <v>62686.083107499995</v>
      </c>
      <c r="H50" s="20">
        <f t="shared" si="18"/>
        <v>9289.2733499999995</v>
      </c>
      <c r="I50" s="20">
        <f>H50*BDI_SERVIÇOS_MATERIAIS!$E$11</f>
        <v>2708.0862516071197</v>
      </c>
      <c r="J50" s="20">
        <f>BDI_SERVIÇOS_MATERIAIS!$E$11*G50</f>
        <v>18274.768481274379</v>
      </c>
      <c r="K50" s="20">
        <f t="shared" si="14"/>
        <v>28910.003680208643</v>
      </c>
      <c r="L50" s="33">
        <v>171.9</v>
      </c>
      <c r="M50" s="22">
        <v>3</v>
      </c>
      <c r="N50" s="22">
        <f t="shared" si="19"/>
        <v>8</v>
      </c>
      <c r="O50" s="22">
        <f t="shared" si="16"/>
        <v>0.49760000000000004</v>
      </c>
      <c r="P50" s="33">
        <f t="shared" si="17"/>
        <v>32.127484525</v>
      </c>
      <c r="Q50" s="33"/>
      <c r="R50" s="33"/>
      <c r="S50" s="33"/>
      <c r="T50" s="33"/>
      <c r="U50" s="33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0"/>
      <c r="AV50" s="66"/>
      <c r="AW50" s="21">
        <f>K50</f>
        <v>28910.003680208643</v>
      </c>
      <c r="AX50" s="29"/>
      <c r="AY50" s="29"/>
      <c r="AZ50" s="29"/>
      <c r="BA50" s="29"/>
      <c r="BB50" s="29"/>
      <c r="BC50" s="29"/>
      <c r="BD50" s="29"/>
      <c r="BE50" s="27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19"/>
      <c r="CN50" s="19"/>
      <c r="CO50" s="29"/>
      <c r="CP50" s="29"/>
      <c r="CQ50" s="29"/>
      <c r="CR50" s="29"/>
      <c r="CS50" s="29"/>
      <c r="CT50" s="29"/>
      <c r="CU50" s="29"/>
      <c r="CV50" s="29"/>
      <c r="CW50" s="29"/>
      <c r="CX50" s="29"/>
    </row>
    <row r="51" spans="3:102" ht="43.2">
      <c r="C51" s="32" t="s">
        <v>400</v>
      </c>
      <c r="D51" s="31" t="s">
        <v>70</v>
      </c>
      <c r="E51" s="62">
        <v>46</v>
      </c>
      <c r="F51" s="32" t="str">
        <f>IF(D51="","",VLOOKUP(D51,Preços!B:C,2,FALSE))</f>
        <v xml:space="preserve">TUBO AÇO GALVANIZADO  COM COSTURA, NBR 5580, CLASSE L, DN = 100MM </v>
      </c>
      <c r="G51" s="20">
        <f t="shared" si="18"/>
        <v>114044.61105799999</v>
      </c>
      <c r="H51" s="20">
        <f t="shared" si="18"/>
        <v>11893.933800000003</v>
      </c>
      <c r="I51" s="20">
        <f>H51*BDI_SERVIÇOS_MATERIAIS!$E$11</f>
        <v>3467.4185361662585</v>
      </c>
      <c r="J51" s="20">
        <f>BDI_SERVIÇOS_MATERIAIS!$E$11*G51</f>
        <v>33247.233840529749</v>
      </c>
      <c r="K51" s="20">
        <f t="shared" si="14"/>
        <v>50585.14433999046</v>
      </c>
      <c r="L51" s="33">
        <f>Preços!E99*0.4</f>
        <v>1490.4</v>
      </c>
      <c r="M51" s="22">
        <v>2</v>
      </c>
      <c r="N51" s="22">
        <f t="shared" si="19"/>
        <v>94</v>
      </c>
      <c r="O51" s="22">
        <f t="shared" si="16"/>
        <v>5.8468</v>
      </c>
      <c r="P51" s="33">
        <f t="shared" si="17"/>
        <v>37.974284525000002</v>
      </c>
      <c r="Q51" s="33"/>
      <c r="R51" s="33"/>
      <c r="S51" s="33"/>
      <c r="T51" s="33"/>
      <c r="U51" s="33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66"/>
      <c r="AX51" s="66"/>
      <c r="AY51" s="73"/>
      <c r="AZ51" s="66"/>
      <c r="BA51" s="66"/>
      <c r="BB51" s="21">
        <f>K51</f>
        <v>50585.14433999046</v>
      </c>
      <c r="BC51" s="29"/>
      <c r="BD51" s="29"/>
      <c r="BE51" s="29"/>
      <c r="BF51" s="29"/>
      <c r="BG51" s="29"/>
      <c r="BH51" s="29"/>
      <c r="BI51" s="29"/>
      <c r="BJ51" s="29"/>
      <c r="BK51" s="20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19"/>
      <c r="CN51" s="19"/>
      <c r="CO51" s="29"/>
      <c r="CP51" s="29"/>
      <c r="CQ51" s="29"/>
      <c r="CR51" s="29"/>
      <c r="CS51" s="29"/>
      <c r="CT51" s="29"/>
      <c r="CU51" s="29"/>
      <c r="CV51" s="29"/>
      <c r="CW51" s="29"/>
      <c r="CX51" s="29"/>
    </row>
    <row r="52" spans="3:102" ht="43.2">
      <c r="C52" s="32" t="s">
        <v>400</v>
      </c>
      <c r="D52" s="31" t="s">
        <v>71</v>
      </c>
      <c r="E52" s="62">
        <v>47</v>
      </c>
      <c r="F52" s="32" t="str">
        <f>IF(D52="","",VLOOKUP(D52,Preços!B:C,2,FALSE))</f>
        <v xml:space="preserve">TUBO AÇO GALVANIZADO  COM COSTURA, NBR 5580, CLASSE L, DN = 150MM </v>
      </c>
      <c r="G52" s="20">
        <f t="shared" si="18"/>
        <v>41986.874188999995</v>
      </c>
      <c r="H52" s="20">
        <f t="shared" si="18"/>
        <v>5094.0805999999993</v>
      </c>
      <c r="I52" s="20">
        <f>H52*BDI_SERVIÇOS_MATERIAIS!$E$11</f>
        <v>1485.0687580895169</v>
      </c>
      <c r="J52" s="20">
        <f>BDI_SERVIÇOS_MATERIAIS!$E$11*G52</f>
        <v>12240.362884701712</v>
      </c>
      <c r="K52" s="20">
        <f t="shared" si="14"/>
        <v>18910.786180287072</v>
      </c>
      <c r="L52" s="33">
        <f>0.5*Preços!E103</f>
        <v>1558.75</v>
      </c>
      <c r="M52" s="22">
        <v>2</v>
      </c>
      <c r="N52" s="22">
        <f t="shared" si="19"/>
        <v>98</v>
      </c>
      <c r="O52" s="22">
        <f t="shared" si="16"/>
        <v>6.0956000000000001</v>
      </c>
      <c r="P52" s="33">
        <f t="shared" si="17"/>
        <v>44.069884524999999</v>
      </c>
      <c r="Q52" s="33"/>
      <c r="R52" s="33"/>
      <c r="S52" s="33"/>
      <c r="T52" s="33"/>
      <c r="U52" s="33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BA52" s="29"/>
      <c r="BB52" s="66"/>
      <c r="BC52" s="66"/>
      <c r="BD52" s="66"/>
      <c r="BE52" s="66"/>
      <c r="BF52" s="66"/>
      <c r="BG52" s="66"/>
      <c r="BH52" s="73"/>
      <c r="BI52" s="21">
        <f>K52</f>
        <v>18910.786180287072</v>
      </c>
      <c r="BJ52" s="29"/>
      <c r="BK52" s="29"/>
      <c r="BL52" s="29"/>
      <c r="BM52" s="29"/>
      <c r="BN52" s="29"/>
      <c r="BO52" s="29"/>
      <c r="BP52" s="29"/>
      <c r="BQ52" s="20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19"/>
      <c r="CN52" s="19"/>
      <c r="CO52" s="29"/>
      <c r="CP52" s="29"/>
      <c r="CQ52" s="29"/>
      <c r="CR52" s="29"/>
      <c r="CS52" s="29"/>
      <c r="CT52" s="29"/>
      <c r="CU52" s="29"/>
      <c r="CV52" s="29"/>
      <c r="CW52" s="29"/>
      <c r="CX52" s="29"/>
    </row>
    <row r="53" spans="3:102" ht="86.4">
      <c r="C53" s="32" t="s">
        <v>400</v>
      </c>
      <c r="D53" s="31" t="s">
        <v>84</v>
      </c>
      <c r="E53" s="62">
        <v>48</v>
      </c>
      <c r="F53" s="32" t="str">
        <f>IF(D53="","",VLOOKUP(D53,Preços!B:C,2,FALSE))</f>
        <v>JOELHO 90 GRAUS, EM FERRO GALVANIZADO, CONEXÃO ROSQUEADA, DN 25 (1"), INSTALADO EM REDE DE ALIMENTAÇÃO PARA SPRINKLER - FORNECIMENTO E INSTALAÇÃO. AF_12/2015</v>
      </c>
      <c r="G53" s="20">
        <f t="shared" si="18"/>
        <v>14861.2714</v>
      </c>
      <c r="H53" s="20">
        <f t="shared" si="18"/>
        <v>21886.091919999999</v>
      </c>
      <c r="I53" s="20">
        <f>H53*BDI_SERVIÇOS_MATERIAIS!$E$11</f>
        <v>6380.4156037632019</v>
      </c>
      <c r="J53" s="20">
        <f>BDI_SERVIÇOS_MATERIAIS!$E$11*G53</f>
        <v>4332.4814808837655</v>
      </c>
      <c r="K53" s="20">
        <f t="shared" si="14"/>
        <v>14760.140985845206</v>
      </c>
      <c r="L53" s="33">
        <v>404.99799999999999</v>
      </c>
      <c r="M53" s="22">
        <v>3</v>
      </c>
      <c r="N53" s="22">
        <f t="shared" si="19"/>
        <v>17</v>
      </c>
      <c r="O53" s="22">
        <f t="shared" si="16"/>
        <v>1.0573999999999999</v>
      </c>
      <c r="P53" s="33">
        <f t="shared" si="17"/>
        <v>45.127284525</v>
      </c>
      <c r="Q53" s="33"/>
      <c r="R53" s="33"/>
      <c r="S53" s="33"/>
      <c r="T53" s="33"/>
      <c r="U53" s="33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0"/>
      <c r="BE53" s="29"/>
      <c r="BF53" s="29"/>
      <c r="BG53" s="29"/>
      <c r="BH53" s="29"/>
      <c r="BI53" s="66"/>
      <c r="BJ53" s="21">
        <f>K53</f>
        <v>14760.140985845206</v>
      </c>
      <c r="BK53" s="29"/>
      <c r="BL53" s="29"/>
      <c r="BM53" s="29"/>
      <c r="BN53" s="29"/>
      <c r="BO53" s="29"/>
      <c r="BP53" s="29"/>
      <c r="BQ53" s="29"/>
      <c r="BR53" s="27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19"/>
      <c r="CN53" s="19"/>
      <c r="CO53" s="29"/>
      <c r="CP53" s="29"/>
      <c r="CQ53" s="29"/>
      <c r="CR53" s="29"/>
      <c r="CS53" s="29"/>
      <c r="CT53" s="29"/>
      <c r="CU53" s="29"/>
      <c r="CV53" s="29"/>
      <c r="CW53" s="29"/>
      <c r="CX53" s="29"/>
    </row>
    <row r="54" spans="3:102" ht="86.4">
      <c r="C54" s="32" t="s">
        <v>400</v>
      </c>
      <c r="D54" s="31" t="s">
        <v>85</v>
      </c>
      <c r="E54" s="62">
        <v>49</v>
      </c>
      <c r="F54" s="32" t="str">
        <f>IF(D54="","",VLOOKUP(D54,Preços!B:C,2,FALSE))</f>
        <v>JOELHO 90 GRAUS, EM FERRO GALVANIZADO, CONEXÃO ROSQUEADA, DN 32 (1 1/4"), INSTALADO EM REDE DE ALIMENTAÇÃO PARA SPRINKLER - FORNECIMENTO E INSTALAÇÃO. AF_10/2020</v>
      </c>
      <c r="G54" s="20">
        <f t="shared" si="18"/>
        <v>414.07711999999998</v>
      </c>
      <c r="H54" s="20">
        <f t="shared" si="18"/>
        <v>412.43327999999997</v>
      </c>
      <c r="I54" s="20">
        <f>H54*BDI_SERVIÇOS_MATERIAIS!$E$11</f>
        <v>120.23598113551365</v>
      </c>
      <c r="J54" s="20">
        <f>BDI_SERVIÇOS_MATERIAIS!$E$11*G54</f>
        <v>120.71520704868391</v>
      </c>
      <c r="K54" s="20">
        <f t="shared" si="14"/>
        <v>331.98055392528539</v>
      </c>
      <c r="L54" s="33">
        <v>7.6</v>
      </c>
      <c r="M54" s="22">
        <v>2</v>
      </c>
      <c r="N54" s="22">
        <f t="shared" si="19"/>
        <v>1</v>
      </c>
      <c r="O54" s="22">
        <f t="shared" si="16"/>
        <v>6.2200000000000005E-2</v>
      </c>
      <c r="P54" s="33">
        <f t="shared" si="17"/>
        <v>45.189484524999997</v>
      </c>
      <c r="Q54" s="33"/>
      <c r="R54" s="33"/>
      <c r="S54" s="33"/>
      <c r="T54" s="33"/>
      <c r="U54" s="33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0"/>
      <c r="BE54" s="29"/>
      <c r="BF54" s="29"/>
      <c r="BG54" s="29"/>
      <c r="BH54" s="29"/>
      <c r="BI54" s="29"/>
      <c r="BJ54" s="21">
        <f>K54</f>
        <v>331.98055392528539</v>
      </c>
      <c r="BK54" s="29"/>
      <c r="BL54" s="29"/>
      <c r="BM54" s="29"/>
      <c r="BN54" s="29"/>
      <c r="BO54" s="29"/>
      <c r="BP54" s="29"/>
      <c r="BQ54" s="29"/>
      <c r="BR54" s="20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19"/>
      <c r="CN54" s="19"/>
      <c r="CO54" s="29"/>
      <c r="CP54" s="29"/>
      <c r="CQ54" s="29"/>
      <c r="CR54" s="29"/>
      <c r="CS54" s="29"/>
      <c r="CT54" s="29"/>
      <c r="CU54" s="29"/>
      <c r="CV54" s="29"/>
      <c r="CW54" s="29"/>
      <c r="CX54" s="29"/>
    </row>
    <row r="55" spans="3:102" ht="28.8">
      <c r="C55" s="32" t="s">
        <v>400</v>
      </c>
      <c r="D55" s="31" t="s">
        <v>86</v>
      </c>
      <c r="E55" s="62">
        <v>50</v>
      </c>
      <c r="F55" s="32" t="str">
        <f>IF(D55="","",VLOOKUP(D55,Preços!B:C,2,FALSE))</f>
        <v>COTOVELO DE AÇO GALVANIZADO 4" - FORNECIMENTO E INSTALAÇÃO</v>
      </c>
      <c r="G55" s="20">
        <f t="shared" si="18"/>
        <v>6384</v>
      </c>
      <c r="H55" s="20">
        <f t="shared" si="18"/>
        <v>1229.7750000000001</v>
      </c>
      <c r="I55" s="20">
        <f>H55*BDI_SERVIÇOS_MATERIAIS!$E$11</f>
        <v>358.51423944480501</v>
      </c>
      <c r="J55" s="20">
        <f>BDI_SERVIÇOS_MATERIAIS!$E$11*G55</f>
        <v>1861.1167934098801</v>
      </c>
      <c r="K55" s="20">
        <f>(G55+H55+I55+J55)*31.1%</f>
        <v>3058.1892762178068</v>
      </c>
      <c r="L55" s="33">
        <v>23.75</v>
      </c>
      <c r="M55" s="22">
        <v>2</v>
      </c>
      <c r="N55" s="22">
        <f t="shared" si="19"/>
        <v>2</v>
      </c>
      <c r="O55" s="22">
        <f t="shared" si="16"/>
        <v>0.12440000000000001</v>
      </c>
      <c r="P55" s="33">
        <f t="shared" si="17"/>
        <v>45.313884524999999</v>
      </c>
      <c r="Q55" s="33"/>
      <c r="R55" s="33"/>
      <c r="S55" s="33"/>
      <c r="T55" s="33"/>
      <c r="U55" s="33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0"/>
      <c r="BE55" s="29"/>
      <c r="BF55" s="29"/>
      <c r="BG55" s="29"/>
      <c r="BH55" s="29"/>
      <c r="BI55" s="29"/>
      <c r="BJ55" s="21">
        <f>K55</f>
        <v>3058.1892762178068</v>
      </c>
      <c r="BK55" s="29"/>
      <c r="BL55" s="29"/>
      <c r="BM55" s="29"/>
      <c r="BN55" s="29"/>
      <c r="BO55" s="29"/>
      <c r="BP55" s="29"/>
      <c r="BQ55" s="29"/>
      <c r="BR55" s="20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19"/>
      <c r="CN55" s="19"/>
      <c r="CO55" s="29"/>
      <c r="CP55" s="29"/>
      <c r="CQ55" s="29"/>
      <c r="CR55" s="29"/>
      <c r="CS55" s="29"/>
      <c r="CT55" s="29"/>
      <c r="CU55" s="29"/>
      <c r="CV55" s="29"/>
      <c r="CW55" s="29"/>
      <c r="CX55" s="29"/>
    </row>
    <row r="56" spans="3:102" ht="72">
      <c r="C56" s="32" t="s">
        <v>400</v>
      </c>
      <c r="D56" s="31" t="s">
        <v>87</v>
      </c>
      <c r="E56" s="62">
        <v>51</v>
      </c>
      <c r="F56" s="32" t="str">
        <f>IF(D56="","",VLOOKUP(D56,Preços!B:C,2,FALSE))</f>
        <v xml:space="preserve">COTOVELO DE 90 GRAUS, DE REDUÇÃO EM FERRO GALVANIZADO, CONEXÃO ROSQUEADA, 1"X3/4", INSTALADO EM REDE DE ALIMENTAÇÃO PARA SPRINKLER - FORNECIMENTO E INSTALAÇÃO. </v>
      </c>
      <c r="G56" s="20">
        <f t="shared" si="18"/>
        <v>21419.019899999999</v>
      </c>
      <c r="H56" s="20">
        <f t="shared" si="18"/>
        <v>27857.241720000002</v>
      </c>
      <c r="I56" s="20">
        <f>H56*BDI_SERVIÇOS_MATERIAIS!$E$11</f>
        <v>8121.1748720504911</v>
      </c>
      <c r="J56" s="20">
        <f>BDI_SERVIÇOS_MATERIAIS!$E$11*G56</f>
        <v>6244.250882561154</v>
      </c>
      <c r="K56" s="20">
        <f t="shared" si="14"/>
        <v>19792.564773504222</v>
      </c>
      <c r="L56" s="33">
        <v>515.5</v>
      </c>
      <c r="M56" s="22">
        <v>3</v>
      </c>
      <c r="N56" s="22">
        <f t="shared" si="19"/>
        <v>22</v>
      </c>
      <c r="O56" s="22">
        <f t="shared" si="16"/>
        <v>1.3684000000000001</v>
      </c>
      <c r="P56" s="33">
        <f t="shared" si="17"/>
        <v>46.682284525</v>
      </c>
      <c r="Q56" s="33"/>
      <c r="R56" s="33"/>
      <c r="S56" s="33"/>
      <c r="T56" s="33"/>
      <c r="U56" s="33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0"/>
      <c r="BJ56" s="66"/>
      <c r="BK56" s="21">
        <f>K56</f>
        <v>19792.564773504222</v>
      </c>
      <c r="BL56" s="29"/>
      <c r="BM56" s="29"/>
      <c r="BN56" s="29"/>
      <c r="BO56" s="29"/>
      <c r="BP56" s="29"/>
      <c r="BQ56" s="29"/>
      <c r="BR56" s="29"/>
      <c r="BS56" s="74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19"/>
      <c r="CN56" s="19"/>
      <c r="CO56" s="29"/>
      <c r="CP56" s="29"/>
      <c r="CQ56" s="29"/>
      <c r="CR56" s="29"/>
      <c r="CS56" s="29"/>
      <c r="CT56" s="29"/>
      <c r="CU56" s="29"/>
      <c r="CV56" s="29"/>
      <c r="CW56" s="29"/>
      <c r="CX56" s="29"/>
    </row>
    <row r="57" spans="3:102" ht="72">
      <c r="C57" s="32" t="s">
        <v>400</v>
      </c>
      <c r="D57" s="31" t="s">
        <v>88</v>
      </c>
      <c r="E57" s="62">
        <v>52</v>
      </c>
      <c r="F57" s="32" t="str">
        <f>IF(D57="","",VLOOKUP(D57,Preços!B:C,2,FALSE))</f>
        <v>COTOVELO 90 GRAUS,DE REDUÇÃO EM FERRO GALVANIZADO, CONEXÃO ROSQUEADA, 2"X1.1/2", INSTALADO EM REDE DE ALIMENTAÇÃO PARA SPRINKLER - FORNECIMENTO E INSTALAÇÃO</v>
      </c>
      <c r="G57" s="20">
        <f t="shared" si="18"/>
        <v>15544.41504</v>
      </c>
      <c r="H57" s="20">
        <f t="shared" si="18"/>
        <v>7101.1802399999997</v>
      </c>
      <c r="I57" s="20">
        <f>H57*BDI_SERVIÇOS_MATERIAIS!$E$11</f>
        <v>2070.195143749123</v>
      </c>
      <c r="J57" s="20">
        <f>BDI_SERVIÇOS_MATERIAIS!$E$11*G57</f>
        <v>4531.6371984143343</v>
      </c>
      <c r="K57" s="20">
        <f t="shared" si="14"/>
        <v>9095.9499904928343</v>
      </c>
      <c r="L57" s="33">
        <v>131.4</v>
      </c>
      <c r="M57" s="22">
        <v>3</v>
      </c>
      <c r="N57" s="22">
        <f t="shared" si="19"/>
        <v>6</v>
      </c>
      <c r="O57" s="22">
        <f t="shared" si="16"/>
        <v>0.37319999999999998</v>
      </c>
      <c r="P57" s="33">
        <f t="shared" si="17"/>
        <v>47.055484524999997</v>
      </c>
      <c r="Q57" s="33"/>
      <c r="R57" s="33"/>
      <c r="S57" s="33"/>
      <c r="T57" s="33"/>
      <c r="U57" s="33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0"/>
      <c r="BJ57" s="20"/>
      <c r="BK57" s="66"/>
      <c r="BL57" s="21">
        <f>K57</f>
        <v>9095.9499904928343</v>
      </c>
      <c r="BM57" s="29"/>
      <c r="BN57" s="29"/>
      <c r="BO57" s="29"/>
      <c r="BP57" s="29"/>
      <c r="BQ57" s="29"/>
      <c r="BR57" s="29"/>
      <c r="BS57" s="29"/>
      <c r="BT57" s="27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19"/>
      <c r="CN57" s="19"/>
      <c r="CO57" s="29"/>
      <c r="CP57" s="29"/>
      <c r="CQ57" s="29"/>
      <c r="CR57" s="29"/>
      <c r="CS57" s="29"/>
      <c r="CT57" s="29"/>
      <c r="CU57" s="29"/>
      <c r="CV57" s="29"/>
      <c r="CW57" s="29"/>
      <c r="CX57" s="29"/>
    </row>
    <row r="58" spans="3:102" ht="28.8">
      <c r="C58" s="32" t="s">
        <v>400</v>
      </c>
      <c r="D58" s="31" t="s">
        <v>89</v>
      </c>
      <c r="E58" s="62">
        <v>53</v>
      </c>
      <c r="F58" s="32" t="str">
        <f>IF(D58="","",VLOOKUP(D58,Preços!B:C,2,FALSE))</f>
        <v>COTOVELO 90 GRAUS AÇO GALVANIZADO , REDUÇÃO 2.1/2" X 2"</v>
      </c>
      <c r="G58" s="20">
        <f t="shared" si="18"/>
        <v>2572.7647999999999</v>
      </c>
      <c r="H58" s="20">
        <f t="shared" si="18"/>
        <v>1292.6367999999998</v>
      </c>
      <c r="I58" s="20">
        <f>H58*BDI_SERVIÇOS_MATERIAIS!$E$11</f>
        <v>376.84023437650501</v>
      </c>
      <c r="J58" s="20">
        <f>BDI_SERVIÇOS_MATERIAIS!$E$11*G58</f>
        <v>750.03379930667472</v>
      </c>
      <c r="K58" s="20">
        <f t="shared" si="14"/>
        <v>1552.5977220754689</v>
      </c>
      <c r="L58" s="33">
        <v>23.9</v>
      </c>
      <c r="M58" s="22">
        <v>2</v>
      </c>
      <c r="N58" s="22">
        <f t="shared" si="19"/>
        <v>2</v>
      </c>
      <c r="O58" s="22">
        <f t="shared" si="16"/>
        <v>0.12440000000000001</v>
      </c>
      <c r="P58" s="33">
        <f t="shared" si="17"/>
        <v>47.179884524999999</v>
      </c>
      <c r="Q58" s="33"/>
      <c r="R58" s="33"/>
      <c r="S58" s="33"/>
      <c r="T58" s="33"/>
      <c r="U58" s="33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0"/>
      <c r="BK58" s="29"/>
      <c r="BL58" s="21">
        <f>K58</f>
        <v>1552.5977220754689</v>
      </c>
      <c r="BM58" s="29"/>
      <c r="BN58" s="29"/>
      <c r="BO58" s="29"/>
      <c r="BP58" s="29"/>
      <c r="BQ58" s="29"/>
      <c r="BR58" s="29"/>
      <c r="BS58" s="29"/>
      <c r="BT58" s="20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19"/>
      <c r="CN58" s="19"/>
      <c r="CO58" s="29"/>
      <c r="CP58" s="29"/>
      <c r="CQ58" s="29"/>
      <c r="CR58" s="29"/>
      <c r="CS58" s="29"/>
      <c r="CT58" s="29"/>
      <c r="CU58" s="29"/>
      <c r="CV58" s="29"/>
      <c r="CW58" s="29"/>
      <c r="CX58" s="29"/>
    </row>
    <row r="59" spans="3:102" ht="28.8">
      <c r="C59" s="32" t="s">
        <v>400</v>
      </c>
      <c r="D59" s="31" t="s">
        <v>90</v>
      </c>
      <c r="E59" s="62">
        <v>54</v>
      </c>
      <c r="F59" s="32" t="str">
        <f>IF(D59="","",VLOOKUP(D59,Preços!B:C,2,FALSE))</f>
        <v>COTOVELO 90 GRAUS AÇO GALVANIZADO , REDUÇÃO 4" X 2"</v>
      </c>
      <c r="G59" s="20">
        <f t="shared" si="18"/>
        <v>2224.2673000000004</v>
      </c>
      <c r="H59" s="20">
        <f t="shared" si="18"/>
        <v>256.69</v>
      </c>
      <c r="I59" s="20">
        <f>H59*BDI_SERVIÇOS_MATERIAIS!$E$11</f>
        <v>74.832404401688919</v>
      </c>
      <c r="J59" s="20">
        <f>BDI_SERVIÇOS_MATERIAIS!$E$11*G59</f>
        <v>648.43690868772751</v>
      </c>
      <c r="K59" s="20">
        <f t="shared" si="14"/>
        <v>996.51447667080856</v>
      </c>
      <c r="L59" s="33">
        <v>4.8</v>
      </c>
      <c r="M59" s="22">
        <v>2</v>
      </c>
      <c r="N59" s="22">
        <f t="shared" si="19"/>
        <v>1</v>
      </c>
      <c r="O59" s="22">
        <f t="shared" si="16"/>
        <v>6.2200000000000005E-2</v>
      </c>
      <c r="P59" s="33">
        <f>O59+P58</f>
        <v>47.242084524999996</v>
      </c>
      <c r="Q59" s="33"/>
      <c r="R59" s="33"/>
      <c r="S59" s="33"/>
      <c r="T59" s="33"/>
      <c r="U59" s="33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0"/>
      <c r="BL59" s="21">
        <f>K59</f>
        <v>996.51447667080856</v>
      </c>
      <c r="BM59" s="29"/>
      <c r="BN59" s="29"/>
      <c r="BO59" s="29"/>
      <c r="BP59" s="29"/>
      <c r="BQ59" s="29"/>
      <c r="BR59" s="29"/>
      <c r="BS59" s="29"/>
      <c r="BT59" s="20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19"/>
      <c r="CN59" s="19"/>
      <c r="CO59" s="29"/>
      <c r="CP59" s="29"/>
      <c r="CQ59" s="29"/>
      <c r="CR59" s="29"/>
      <c r="CS59" s="29"/>
      <c r="CT59" s="29"/>
      <c r="CU59" s="29"/>
      <c r="CV59" s="29"/>
      <c r="CW59" s="29"/>
      <c r="CX59" s="29"/>
    </row>
    <row r="60" spans="3:102" ht="28.8">
      <c r="C60" s="32" t="s">
        <v>400</v>
      </c>
      <c r="D60" s="31" t="s">
        <v>91</v>
      </c>
      <c r="E60" s="62">
        <v>55</v>
      </c>
      <c r="F60" s="32" t="str">
        <f>IF(D60="","",VLOOKUP(D60,Preços!B:C,2,FALSE))</f>
        <v>COTOVELO 90 GRAUS AÇO GALVANIZADO , REDUÇÃO 4" X 2.1/2"</v>
      </c>
      <c r="G60" s="20">
        <f t="shared" si="18"/>
        <v>4003.6811400000001</v>
      </c>
      <c r="H60" s="20">
        <f t="shared" si="18"/>
        <v>462.04199999999992</v>
      </c>
      <c r="I60" s="20">
        <f>H60*BDI_SERVIÇOS_MATERIAIS!$E$11</f>
        <v>134.69832792304004</v>
      </c>
      <c r="J60" s="20">
        <f>BDI_SERVIÇOS_MATERIAIS!$E$11*G60</f>
        <v>1167.1864356379094</v>
      </c>
      <c r="K60" s="20">
        <f t="shared" si="14"/>
        <v>1793.7260580074551</v>
      </c>
      <c r="L60" s="33">
        <v>8.6</v>
      </c>
      <c r="M60" s="22">
        <v>2</v>
      </c>
      <c r="N60" s="22">
        <f t="shared" si="19"/>
        <v>1</v>
      </c>
      <c r="O60" s="22">
        <f t="shared" si="16"/>
        <v>6.2200000000000005E-2</v>
      </c>
      <c r="P60" s="33">
        <f t="shared" ref="P60:P72" si="20">O60+P59</f>
        <v>47.304284524999993</v>
      </c>
      <c r="Q60" s="33"/>
      <c r="R60" s="33"/>
      <c r="S60" s="33"/>
      <c r="T60" s="33"/>
      <c r="U60" s="33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0"/>
      <c r="BL60" s="21">
        <f>K60</f>
        <v>1793.7260580074551</v>
      </c>
      <c r="BM60" s="29"/>
      <c r="BN60" s="29"/>
      <c r="BO60" s="29"/>
      <c r="BP60" s="29"/>
      <c r="BQ60" s="29"/>
      <c r="BR60" s="29"/>
      <c r="BS60" s="29"/>
      <c r="BT60" s="20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19"/>
      <c r="CN60" s="19"/>
      <c r="CO60" s="29"/>
      <c r="CP60" s="29"/>
      <c r="CQ60" s="29"/>
      <c r="CR60" s="29"/>
      <c r="CS60" s="29"/>
      <c r="CT60" s="29"/>
      <c r="CU60" s="29"/>
      <c r="CV60" s="29"/>
      <c r="CW60" s="29"/>
      <c r="CX60" s="29"/>
    </row>
    <row r="61" spans="3:102" ht="28.8">
      <c r="C61" s="32" t="s">
        <v>400</v>
      </c>
      <c r="D61" s="31" t="s">
        <v>92</v>
      </c>
      <c r="E61" s="62">
        <v>56</v>
      </c>
      <c r="F61" s="32" t="str">
        <f>IF(D61="","",VLOOKUP(D61,Preços!B:C,2,FALSE))</f>
        <v>TE DE REDUCAO DE   1"X3/4"</v>
      </c>
      <c r="G61" s="20">
        <f t="shared" si="18"/>
        <v>30303.587599999999</v>
      </c>
      <c r="H61" s="20">
        <f t="shared" si="18"/>
        <v>36570.27304</v>
      </c>
      <c r="I61" s="20">
        <f>H61*BDI_SERVIÇOS_MATERIAIS!$E$11</f>
        <v>10661.27025287102</v>
      </c>
      <c r="J61" s="20">
        <f>BDI_SERVIÇOS_MATERIAIS!$E$11*G61</f>
        <v>8834.353976022463</v>
      </c>
      <c r="K61" s="20">
        <f t="shared" si="14"/>
        <v>26860.909794225874</v>
      </c>
      <c r="L61" s="33">
        <v>676.7</v>
      </c>
      <c r="M61" s="22">
        <v>3</v>
      </c>
      <c r="N61" s="22">
        <f t="shared" si="19"/>
        <v>29</v>
      </c>
      <c r="O61" s="22">
        <f t="shared" si="16"/>
        <v>1.8037999999999998</v>
      </c>
      <c r="P61" s="33">
        <f t="shared" si="20"/>
        <v>49.108084524999995</v>
      </c>
      <c r="Q61" s="33"/>
      <c r="R61" s="33"/>
      <c r="S61" s="33"/>
      <c r="T61" s="33"/>
      <c r="U61" s="33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66"/>
      <c r="BM61" s="21"/>
      <c r="BN61" s="21">
        <f>K61</f>
        <v>26860.909794225874</v>
      </c>
      <c r="BO61" s="29"/>
      <c r="BP61" s="20"/>
      <c r="BR61" s="29"/>
      <c r="BS61" s="29"/>
      <c r="BT61" s="29"/>
      <c r="BU61" s="29"/>
      <c r="BV61" s="20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19"/>
      <c r="CN61" s="19"/>
      <c r="CO61" s="29"/>
      <c r="CP61" s="29"/>
      <c r="CQ61" s="29"/>
      <c r="CR61" s="29"/>
      <c r="CS61" s="29"/>
      <c r="CT61" s="29"/>
      <c r="CU61" s="29"/>
      <c r="CV61" s="29"/>
      <c r="CW61" s="29"/>
      <c r="CX61" s="29"/>
    </row>
    <row r="62" spans="3:102" ht="28.8">
      <c r="C62" s="32" t="s">
        <v>400</v>
      </c>
      <c r="D62" s="31" t="s">
        <v>93</v>
      </c>
      <c r="E62" s="62">
        <v>57</v>
      </c>
      <c r="F62" s="32" t="str">
        <f>IF(D62="","",VLOOKUP(D62,Preços!B:C,2,FALSE))</f>
        <v>TE DE REDUCAO DE   1.1/2"X3/4"</v>
      </c>
      <c r="G62" s="20">
        <f t="shared" si="18"/>
        <v>68278.689180000001</v>
      </c>
      <c r="H62" s="20">
        <f t="shared" si="18"/>
        <v>47821.347000000002</v>
      </c>
      <c r="I62" s="20">
        <f>H62*BDI_SERVIÇOS_MATERIAIS!$E$11</f>
        <v>13941.276940034648</v>
      </c>
      <c r="J62" s="20">
        <f>BDI_SERVIÇOS_MATERIAIS!$E$11*G62</f>
        <v>19905.171532724227</v>
      </c>
      <c r="K62" s="20">
        <f t="shared" si="14"/>
        <v>46633.356727008009</v>
      </c>
      <c r="L62" s="33">
        <v>884.9</v>
      </c>
      <c r="M62" s="22">
        <v>3</v>
      </c>
      <c r="N62" s="22">
        <f t="shared" si="19"/>
        <v>37</v>
      </c>
      <c r="O62" s="22">
        <f t="shared" si="16"/>
        <v>2.3014000000000001</v>
      </c>
      <c r="P62" s="33">
        <f t="shared" si="20"/>
        <v>51.409484524999996</v>
      </c>
      <c r="Q62" s="33"/>
      <c r="R62" s="33"/>
      <c r="S62" s="33"/>
      <c r="T62" s="33"/>
      <c r="U62" s="33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66"/>
      <c r="BO62" s="66"/>
      <c r="BP62" s="21">
        <f>K62</f>
        <v>46633.356727008009</v>
      </c>
      <c r="BQ62" s="29"/>
      <c r="BR62" s="29"/>
      <c r="BS62" s="29"/>
      <c r="BT62" s="29"/>
      <c r="BU62" s="29"/>
      <c r="BV62" s="29"/>
      <c r="BW62" s="29"/>
      <c r="BX62" s="20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19"/>
      <c r="CN62" s="19"/>
      <c r="CO62" s="29"/>
      <c r="CP62" s="29"/>
      <c r="CQ62" s="29"/>
      <c r="CR62" s="29"/>
      <c r="CS62" s="29"/>
      <c r="CT62" s="29"/>
      <c r="CU62" s="29"/>
      <c r="CV62" s="29"/>
      <c r="CW62" s="29"/>
      <c r="CX62" s="29"/>
    </row>
    <row r="63" spans="3:102" ht="28.8">
      <c r="C63" s="32" t="s">
        <v>400</v>
      </c>
      <c r="D63" s="31" t="s">
        <v>94</v>
      </c>
      <c r="E63" s="62">
        <v>58</v>
      </c>
      <c r="F63" s="32" t="str">
        <f>IF(D63="","",VLOOKUP(D63,Preços!B:C,2,FALSE))</f>
        <v>TE DE REDUCAO DE   2"X1"</v>
      </c>
      <c r="G63" s="20">
        <f t="shared" si="18"/>
        <v>51376.784939999998</v>
      </c>
      <c r="H63" s="20">
        <f t="shared" si="18"/>
        <v>25939.848480000001</v>
      </c>
      <c r="I63" s="20">
        <f>H63*BDI_SERVIÇOS_MATERIAIS!$E$11</f>
        <v>7562.2004424554752</v>
      </c>
      <c r="J63" s="20">
        <f>BDI_SERVIÇOS_MATERIAIS!$E$11*G63</f>
        <v>14977.787788728354</v>
      </c>
      <c r="K63" s="20">
        <f t="shared" si="14"/>
        <v>31055.409333518171</v>
      </c>
      <c r="L63" s="33">
        <v>480</v>
      </c>
      <c r="M63" s="22">
        <v>3</v>
      </c>
      <c r="N63" s="22">
        <f t="shared" si="19"/>
        <v>20</v>
      </c>
      <c r="O63" s="22">
        <f t="shared" si="16"/>
        <v>1.244</v>
      </c>
      <c r="P63" s="33">
        <f t="shared" si="20"/>
        <v>52.653484524999996</v>
      </c>
      <c r="Q63" s="33"/>
      <c r="R63" s="33"/>
      <c r="S63" s="33"/>
      <c r="T63" s="33"/>
      <c r="U63" s="33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66"/>
      <c r="BQ63" s="75">
        <f>K63</f>
        <v>31055.409333518171</v>
      </c>
      <c r="BR63" s="76"/>
      <c r="BS63" s="29"/>
      <c r="BT63" s="29"/>
      <c r="BU63" s="29"/>
      <c r="BV63" s="29"/>
      <c r="BW63" s="29"/>
      <c r="BX63" s="29"/>
      <c r="BY63" s="20"/>
      <c r="BZ63" s="29"/>
      <c r="CA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19"/>
      <c r="CN63" s="19"/>
      <c r="CO63" s="29"/>
      <c r="CP63" s="29"/>
      <c r="CQ63" s="29"/>
      <c r="CR63" s="29"/>
      <c r="CS63" s="29"/>
      <c r="CT63" s="29"/>
      <c r="CU63" s="29"/>
      <c r="CV63" s="29"/>
      <c r="CW63" s="29"/>
      <c r="CX63" s="29"/>
    </row>
    <row r="64" spans="3:102" ht="28.8">
      <c r="C64" s="32" t="s">
        <v>400</v>
      </c>
      <c r="D64" s="31" t="s">
        <v>95</v>
      </c>
      <c r="E64" s="62">
        <v>59</v>
      </c>
      <c r="F64" s="32" t="str">
        <f>IF(D64="","",VLOOKUP(D64,Preços!B:C,2,FALSE))</f>
        <v>TE DE REDUCAO   2.1/2"X1"</v>
      </c>
      <c r="G64" s="20">
        <f t="shared" si="18"/>
        <v>4448.9172600000002</v>
      </c>
      <c r="H64" s="20">
        <f t="shared" si="18"/>
        <v>1335.1662799999999</v>
      </c>
      <c r="I64" s="20">
        <f>H64*BDI_SERVIÇOS_MATERIAIS!$E$11</f>
        <v>389.23878222158487</v>
      </c>
      <c r="J64" s="20">
        <f>BDI_SERVIÇOS_MATERIAIS!$E$11*G64</f>
        <v>1296.9853736022978</v>
      </c>
      <c r="K64" s="20">
        <f t="shared" si="14"/>
        <v>2323.2656934012275</v>
      </c>
      <c r="L64" s="33">
        <v>24.7</v>
      </c>
      <c r="M64" s="22">
        <v>2</v>
      </c>
      <c r="N64" s="22">
        <f t="shared" si="19"/>
        <v>2</v>
      </c>
      <c r="O64" s="22">
        <f t="shared" si="16"/>
        <v>0.12440000000000001</v>
      </c>
      <c r="P64" s="33">
        <f t="shared" si="20"/>
        <v>52.777884524999997</v>
      </c>
      <c r="Q64" s="33"/>
      <c r="R64" s="33"/>
      <c r="S64" s="33"/>
      <c r="T64" s="33"/>
      <c r="U64" s="33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75">
        <f>K64</f>
        <v>2323.2656934012275</v>
      </c>
      <c r="BR64" s="76"/>
      <c r="BS64" s="29"/>
      <c r="BT64" s="29"/>
      <c r="BU64" s="29"/>
      <c r="BV64" s="29"/>
      <c r="BW64" s="29"/>
      <c r="BX64" s="29"/>
      <c r="BY64" s="29"/>
      <c r="BZ64" s="20"/>
      <c r="CA64" s="29"/>
      <c r="CB64" s="20"/>
      <c r="CD64" s="29"/>
      <c r="CE64" s="29"/>
      <c r="CF64" s="29"/>
      <c r="CG64" s="29"/>
      <c r="CH64" s="29"/>
      <c r="CI64" s="29"/>
      <c r="CJ64" s="29"/>
      <c r="CK64" s="29"/>
      <c r="CL64" s="29"/>
      <c r="CM64" s="19"/>
      <c r="CN64" s="19"/>
      <c r="CO64" s="29"/>
      <c r="CP64" s="29"/>
      <c r="CQ64" s="29"/>
      <c r="CR64" s="29"/>
      <c r="CS64" s="29"/>
      <c r="CT64" s="29"/>
      <c r="CU64" s="29"/>
      <c r="CV64" s="29"/>
      <c r="CW64" s="29"/>
      <c r="CX64" s="29"/>
    </row>
    <row r="65" spans="3:102" ht="28.8">
      <c r="C65" s="32" t="s">
        <v>400</v>
      </c>
      <c r="D65" s="31" t="s">
        <v>96</v>
      </c>
      <c r="E65" s="62">
        <v>60</v>
      </c>
      <c r="F65" s="32" t="str">
        <f>IF(D65="","",VLOOKUP(D65,Preços!B:C,2,FALSE))</f>
        <v>TE DE REDUCAO  DE 2.1/2" X 2"</v>
      </c>
      <c r="G65" s="20">
        <f t="shared" si="18"/>
        <v>19934.567099999997</v>
      </c>
      <c r="H65" s="20">
        <f t="shared" si="18"/>
        <v>5814.4337999999998</v>
      </c>
      <c r="I65" s="20">
        <f>H65*BDI_SERVIÇOS_MATERIAIS!$E$11</f>
        <v>1695.0721161262568</v>
      </c>
      <c r="J65" s="20">
        <f>BDI_SERVIÇOS_MATERIAIS!$E$11*G65</f>
        <v>5811.4908519996998</v>
      </c>
      <c r="K65" s="20">
        <f t="shared" si="14"/>
        <v>10342.480362987171</v>
      </c>
      <c r="L65" s="33">
        <v>107.6</v>
      </c>
      <c r="M65" s="22">
        <v>3</v>
      </c>
      <c r="N65" s="22">
        <f t="shared" si="19"/>
        <v>5</v>
      </c>
      <c r="O65" s="22">
        <f t="shared" si="16"/>
        <v>0.311</v>
      </c>
      <c r="P65" s="33">
        <f t="shared" si="20"/>
        <v>53.088884524999997</v>
      </c>
      <c r="Q65" s="33"/>
      <c r="R65" s="33"/>
      <c r="S65" s="33"/>
      <c r="T65" s="33"/>
      <c r="U65" s="33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76"/>
      <c r="BR65" s="75">
        <f>K65</f>
        <v>10342.480362987171</v>
      </c>
      <c r="BS65" s="29"/>
      <c r="BT65" s="29"/>
      <c r="BU65" s="29"/>
      <c r="BV65" s="29"/>
      <c r="BW65" s="29"/>
      <c r="BX65" s="29"/>
      <c r="BY65" s="29"/>
      <c r="BZ65" s="20"/>
      <c r="CA65" s="29"/>
      <c r="CB65" s="29"/>
      <c r="CC65" s="20"/>
      <c r="CE65" s="29"/>
      <c r="CF65" s="29"/>
      <c r="CG65" s="29"/>
      <c r="CH65" s="29"/>
      <c r="CI65" s="29"/>
      <c r="CJ65" s="29"/>
      <c r="CK65" s="29"/>
      <c r="CL65" s="29"/>
      <c r="CM65" s="19"/>
      <c r="CN65" s="19"/>
      <c r="CO65" s="29"/>
      <c r="CP65" s="29"/>
      <c r="CQ65" s="29"/>
      <c r="CR65" s="29"/>
      <c r="CS65" s="29"/>
      <c r="CT65" s="29"/>
      <c r="CU65" s="29"/>
      <c r="CV65" s="29"/>
      <c r="CW65" s="29"/>
      <c r="CX65" s="29"/>
    </row>
    <row r="66" spans="3:102" ht="28.8">
      <c r="C66" s="32" t="s">
        <v>400</v>
      </c>
      <c r="D66" s="31" t="s">
        <v>97</v>
      </c>
      <c r="E66" s="62">
        <v>61</v>
      </c>
      <c r="F66" s="32" t="str">
        <f>IF(D66="","",VLOOKUP(D66,Preços!B:C,2,FALSE))</f>
        <v>TE DE REDUCAO  DE 4" X 2"</v>
      </c>
      <c r="G66" s="20">
        <f t="shared" si="18"/>
        <v>50638.049800000008</v>
      </c>
      <c r="H66" s="20">
        <f t="shared" si="18"/>
        <v>5599.0843999999997</v>
      </c>
      <c r="I66" s="20">
        <f>H66*BDI_SERVIÇOS_MATERIAIS!$E$11</f>
        <v>1632.2916673808397</v>
      </c>
      <c r="J66" s="20">
        <f>BDI_SERVIÇOS_MATERIAIS!$E$11*G66</f>
        <v>14762.425574609309</v>
      </c>
      <c r="K66" s="20">
        <f t="shared" si="14"/>
        <v>22588.50579845894</v>
      </c>
      <c r="L66" s="33">
        <v>103.6</v>
      </c>
      <c r="M66" s="22">
        <v>3</v>
      </c>
      <c r="N66" s="22">
        <f t="shared" si="19"/>
        <v>5</v>
      </c>
      <c r="O66" s="22">
        <f t="shared" si="16"/>
        <v>0.311</v>
      </c>
      <c r="P66" s="33">
        <f t="shared" si="20"/>
        <v>53.399884524999997</v>
      </c>
      <c r="Q66" s="33"/>
      <c r="R66" s="33"/>
      <c r="S66" s="33"/>
      <c r="T66" s="33"/>
      <c r="U66" s="33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76"/>
      <c r="BR66" s="75">
        <f>K66</f>
        <v>22588.50579845894</v>
      </c>
      <c r="BS66" s="29"/>
      <c r="BT66" s="29"/>
      <c r="BU66" s="29"/>
      <c r="BV66" s="29"/>
      <c r="BW66" s="29"/>
      <c r="BX66" s="29"/>
      <c r="BY66" s="29"/>
      <c r="BZ66" s="20"/>
      <c r="CA66" s="29"/>
      <c r="CB66" s="29"/>
      <c r="CD66" s="20"/>
      <c r="CF66" s="29"/>
      <c r="CG66" s="29"/>
      <c r="CH66" s="29"/>
      <c r="CI66" s="29"/>
      <c r="CJ66" s="29"/>
      <c r="CK66" s="29"/>
      <c r="CL66" s="29"/>
      <c r="CM66" s="19"/>
      <c r="CN66" s="19"/>
      <c r="CO66" s="29"/>
      <c r="CP66" s="29"/>
      <c r="CQ66" s="29"/>
      <c r="CR66" s="29"/>
      <c r="CS66" s="29"/>
      <c r="CT66" s="29"/>
      <c r="CU66" s="29"/>
      <c r="CV66" s="29"/>
      <c r="CW66" s="29"/>
      <c r="CX66" s="29"/>
    </row>
    <row r="67" spans="3:102" ht="28.8">
      <c r="C67" s="32" t="s">
        <v>400</v>
      </c>
      <c r="D67" s="31" t="s">
        <v>98</v>
      </c>
      <c r="E67" s="62">
        <v>62</v>
      </c>
      <c r="F67" s="32" t="str">
        <f>IF(D67="","",VLOOKUP(D67,Preços!B:C,2,FALSE))</f>
        <v>TE DE REDUCAO  DE 4" X 2.1/2"</v>
      </c>
      <c r="G67" s="20">
        <f t="shared" si="18"/>
        <v>11602.369999999999</v>
      </c>
      <c r="H67" s="20">
        <f t="shared" si="18"/>
        <v>1842.7640000000001</v>
      </c>
      <c r="I67" s="20">
        <f>H67*BDI_SERVIÇOS_MATERIAIS!$E$11</f>
        <v>537.21789265212476</v>
      </c>
      <c r="J67" s="20">
        <f>BDI_SERVIÇOS_MATERIAIS!$E$11*G67</f>
        <v>3382.4194314465831</v>
      </c>
      <c r="K67" s="20">
        <f t="shared" si="14"/>
        <v>5400.4438817946975</v>
      </c>
      <c r="L67" s="33">
        <v>34.1</v>
      </c>
      <c r="M67" s="22">
        <v>2</v>
      </c>
      <c r="N67" s="22">
        <f t="shared" si="19"/>
        <v>3</v>
      </c>
      <c r="O67" s="22">
        <f t="shared" si="16"/>
        <v>0.18659999999999999</v>
      </c>
      <c r="P67" s="33">
        <f t="shared" si="20"/>
        <v>53.586484524999996</v>
      </c>
      <c r="Q67" s="33"/>
      <c r="R67" s="33"/>
      <c r="S67" s="33"/>
      <c r="T67" s="33"/>
      <c r="U67" s="33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1">
        <f>K67</f>
        <v>5400.4438817946975</v>
      </c>
      <c r="BS67" s="29"/>
      <c r="BT67" s="29"/>
      <c r="BU67" s="29"/>
      <c r="BV67" s="29"/>
      <c r="BW67" s="29"/>
      <c r="BX67" s="29"/>
      <c r="BY67" s="29"/>
      <c r="BZ67" s="20"/>
      <c r="CA67" s="29"/>
      <c r="CB67" s="29"/>
      <c r="CC67" s="29"/>
      <c r="CD67" s="29"/>
      <c r="CE67" s="20"/>
      <c r="CF67" s="29"/>
      <c r="CG67" s="29"/>
      <c r="CH67" s="29"/>
      <c r="CI67" s="29"/>
      <c r="CJ67" s="29"/>
      <c r="CK67" s="29"/>
      <c r="CL67" s="29"/>
      <c r="CM67" s="19"/>
      <c r="CN67" s="19"/>
      <c r="CO67" s="29"/>
      <c r="CP67" s="29"/>
      <c r="CQ67" s="29"/>
      <c r="CR67" s="29"/>
      <c r="CS67" s="29"/>
      <c r="CT67" s="29"/>
      <c r="CU67" s="29"/>
      <c r="CV67" s="29"/>
      <c r="CW67" s="29"/>
      <c r="CX67" s="29"/>
    </row>
    <row r="68" spans="3:102" ht="72">
      <c r="C68" s="32" t="s">
        <v>400</v>
      </c>
      <c r="D68" s="31" t="s">
        <v>143</v>
      </c>
      <c r="E68" s="62">
        <v>63</v>
      </c>
      <c r="F68" s="32" t="str">
        <f>IF(D68="","",VLOOKUP(D68,Preços!B:C,2,FALSE))</f>
        <v>TÊ, EM FERRO GALVANIZADO, CONEXÃO ROSQUEADA, DN 25 (1"), INSTALADO EM REDE DE ALIMENTAÇÃO PARA SPRINKLER - FORNECIMENTO E INSTALAÇÃO. AF_10/2020</v>
      </c>
      <c r="G68" s="20">
        <f t="shared" si="18"/>
        <v>15956.8644</v>
      </c>
      <c r="H68" s="20">
        <f t="shared" si="18"/>
        <v>22539.759760000001</v>
      </c>
      <c r="I68" s="20">
        <f>H68*BDI_SERVIÇOS_MATERIAIS!$E$11</f>
        <v>6570.9782908459038</v>
      </c>
      <c r="J68" s="20">
        <f>BDI_SERVIÇOS_MATERIAIS!$E$11*G68</f>
        <v>4651.87786732523</v>
      </c>
      <c r="K68" s="20">
        <f t="shared" si="14"/>
        <v>15462.758378951223</v>
      </c>
      <c r="L68" s="33">
        <v>694</v>
      </c>
      <c r="M68" s="22">
        <v>3</v>
      </c>
      <c r="N68" s="22">
        <f t="shared" si="19"/>
        <v>29</v>
      </c>
      <c r="O68" s="22">
        <f t="shared" si="16"/>
        <v>1.8037999999999998</v>
      </c>
      <c r="P68" s="33">
        <f t="shared" si="20"/>
        <v>55.390284524999998</v>
      </c>
      <c r="Q68" s="33"/>
      <c r="R68" s="33"/>
      <c r="S68" s="33"/>
      <c r="T68" s="33"/>
      <c r="U68" s="33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66"/>
      <c r="BS68" s="73"/>
      <c r="BT68" s="21">
        <f>K68</f>
        <v>15462.758378951223</v>
      </c>
      <c r="BU68" s="29"/>
      <c r="BV68" s="29"/>
      <c r="BW68" s="29"/>
      <c r="BX68" s="29"/>
      <c r="BY68" s="29"/>
      <c r="BZ68" s="29"/>
      <c r="CA68" s="29"/>
      <c r="CB68" s="27"/>
      <c r="CC68" s="29"/>
      <c r="CD68" s="29"/>
      <c r="CE68" s="29"/>
      <c r="CF68" s="29"/>
      <c r="CG68" s="29"/>
      <c r="CH68" s="29"/>
      <c r="CI68" s="20"/>
      <c r="CJ68" s="29"/>
      <c r="CK68" s="29"/>
      <c r="CL68" s="29"/>
      <c r="CM68" s="19"/>
      <c r="CN68" s="19"/>
      <c r="CO68" s="29"/>
      <c r="CP68" s="29"/>
      <c r="CQ68" s="29"/>
      <c r="CR68" s="29"/>
      <c r="CS68" s="29"/>
      <c r="CT68" s="29"/>
      <c r="CU68" s="29"/>
      <c r="CV68" s="29"/>
      <c r="CW68" s="29"/>
      <c r="CX68" s="29"/>
    </row>
    <row r="69" spans="3:102" ht="28.8">
      <c r="C69" s="32" t="s">
        <v>400</v>
      </c>
      <c r="D69" s="31" t="s">
        <v>144</v>
      </c>
      <c r="E69" s="62">
        <v>64</v>
      </c>
      <c r="F69" s="32" t="str">
        <f>IF(D69="","",VLOOKUP(D69,Preços!B:C,2,FALSE))</f>
        <v>TE DE ACO GALVANIZADO 4" - FORNECIMENTO E INSTALACAO</v>
      </c>
      <c r="G69" s="20">
        <f t="shared" si="18"/>
        <v>3260.8999999999996</v>
      </c>
      <c r="H69" s="20">
        <f t="shared" si="18"/>
        <v>569.57999999999993</v>
      </c>
      <c r="I69" s="20">
        <f>H69*BDI_SERVIÇOS_MATERIAIS!$E$11</f>
        <v>166.04870037443598</v>
      </c>
      <c r="J69" s="20">
        <f>BDI_SERVIÇOS_MATERIAIS!$E$11*G69</f>
        <v>950.64469793707349</v>
      </c>
      <c r="K69" s="20">
        <f t="shared" si="14"/>
        <v>1538.5709268748794</v>
      </c>
      <c r="L69" s="33">
        <v>11</v>
      </c>
      <c r="M69" s="22">
        <v>2</v>
      </c>
      <c r="N69" s="22">
        <f t="shared" si="19"/>
        <v>1</v>
      </c>
      <c r="O69" s="22">
        <f t="shared" si="16"/>
        <v>6.2200000000000005E-2</v>
      </c>
      <c r="P69" s="33">
        <f t="shared" si="20"/>
        <v>55.452484524999996</v>
      </c>
      <c r="Q69" s="33"/>
      <c r="R69" s="33"/>
      <c r="S69" s="33"/>
      <c r="T69" s="33"/>
      <c r="U69" s="33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1">
        <f>K69</f>
        <v>1538.5709268748794</v>
      </c>
      <c r="BU69" s="29"/>
      <c r="BV69" s="29"/>
      <c r="BW69" s="29"/>
      <c r="BX69" s="29"/>
      <c r="BY69" s="29"/>
      <c r="BZ69" s="29"/>
      <c r="CA69" s="29"/>
      <c r="CB69" s="20"/>
      <c r="CC69" s="29"/>
      <c r="CD69" s="29"/>
      <c r="CE69" s="29"/>
      <c r="CF69" s="29"/>
      <c r="CG69" s="29"/>
      <c r="CH69" s="29"/>
      <c r="CI69" s="20"/>
      <c r="CJ69" s="29"/>
      <c r="CK69" s="29"/>
      <c r="CL69" s="29"/>
      <c r="CM69" s="19"/>
      <c r="CN69" s="19"/>
      <c r="CO69" s="29"/>
      <c r="CP69" s="29"/>
      <c r="CQ69" s="29"/>
      <c r="CR69" s="29"/>
      <c r="CS69" s="29"/>
      <c r="CT69" s="29"/>
      <c r="CU69" s="29"/>
      <c r="CV69" s="29"/>
      <c r="CW69" s="29"/>
      <c r="CX69" s="29"/>
    </row>
    <row r="70" spans="3:102" ht="43.2">
      <c r="C70" s="32" t="s">
        <v>400</v>
      </c>
      <c r="D70" s="31" t="s">
        <v>145</v>
      </c>
      <c r="E70" s="62">
        <v>65</v>
      </c>
      <c r="F70" s="32" t="str">
        <f>IF(D70="","",VLOOKUP(D70,Preços!B:C,2,FALSE))</f>
        <v>BUCHA DE REDUCAO DE FERRO GALVANIZADO, COM ROSCA BSP, DE 1" X 3/4"</v>
      </c>
      <c r="G70" s="20">
        <f t="shared" si="18"/>
        <v>2594.7019</v>
      </c>
      <c r="H70" s="20">
        <f t="shared" si="18"/>
        <v>3985.1797999999999</v>
      </c>
      <c r="I70" s="20">
        <f>H70*BDI_SERVIÇOS_MATERIAIS!$E$11</f>
        <v>1161.792771074221</v>
      </c>
      <c r="J70" s="20">
        <f>BDI_SERVIÇOS_MATERIAIS!$E$11*G70</f>
        <v>756.42908521029494</v>
      </c>
      <c r="K70" s="20">
        <f t="shared" si="14"/>
        <v>2642.9102060044843</v>
      </c>
      <c r="L70" s="33">
        <v>73.7</v>
      </c>
      <c r="M70" s="22">
        <v>2</v>
      </c>
      <c r="N70" s="22">
        <f t="shared" si="19"/>
        <v>5</v>
      </c>
      <c r="O70" s="22">
        <f t="shared" si="16"/>
        <v>0.311</v>
      </c>
      <c r="P70" s="33">
        <f t="shared" si="20"/>
        <v>55.763484524999996</v>
      </c>
      <c r="Q70" s="33"/>
      <c r="R70" s="33"/>
      <c r="S70" s="33"/>
      <c r="T70" s="33"/>
      <c r="U70" s="33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1">
        <f>K70</f>
        <v>2642.9102060044843</v>
      </c>
      <c r="BU70" s="29"/>
      <c r="BV70" s="29"/>
      <c r="BW70" s="29"/>
      <c r="BX70" s="29"/>
      <c r="BY70" s="29"/>
      <c r="BZ70" s="29"/>
      <c r="CA70" s="29"/>
      <c r="CB70" s="29"/>
      <c r="CC70" s="20"/>
      <c r="CD70" s="29"/>
      <c r="CE70" s="29"/>
      <c r="CF70" s="29"/>
      <c r="CG70" s="29"/>
      <c r="CH70" s="29"/>
      <c r="CI70" s="29"/>
      <c r="CJ70" s="20"/>
      <c r="CK70" s="20"/>
      <c r="CL70" s="20"/>
      <c r="CM70" s="19"/>
      <c r="CN70" s="19"/>
      <c r="CO70" s="20"/>
      <c r="CP70" s="20"/>
      <c r="CQ70" s="20"/>
      <c r="CR70" s="20"/>
      <c r="CS70" s="20"/>
      <c r="CT70" s="20"/>
      <c r="CU70" s="20"/>
      <c r="CV70" s="20"/>
      <c r="CW70" s="29"/>
      <c r="CX70" s="29"/>
    </row>
    <row r="71" spans="3:102" ht="28.8">
      <c r="C71" s="32" t="s">
        <v>400</v>
      </c>
      <c r="D71" s="31" t="s">
        <v>146</v>
      </c>
      <c r="E71" s="62">
        <v>66</v>
      </c>
      <c r="F71" s="32" t="str">
        <f>IF(D71="","",VLOOKUP(D71,Preços!B:C,2,FALSE))</f>
        <v>VALVULA ESFERA AÇO GALVANIZADO   1.1/4" - FORCECIMENTO E INSTALAÇÃO</v>
      </c>
      <c r="G71" s="20">
        <f t="shared" si="18"/>
        <v>422.18824000000001</v>
      </c>
      <c r="H71" s="20">
        <f t="shared" si="18"/>
        <v>170.55024</v>
      </c>
      <c r="I71" s="20">
        <f>H71*BDI_SERVIÇOS_MATERIAIS!$E$11</f>
        <v>49.720224903522158</v>
      </c>
      <c r="J71" s="20">
        <f>BDI_SERVIÇOS_MATERIAIS!$E$11*G71</f>
        <v>123.07982823373447</v>
      </c>
      <c r="K71" s="20">
        <f t="shared" si="14"/>
        <v>238.08248380568682</v>
      </c>
      <c r="L71" s="33">
        <v>3</v>
      </c>
      <c r="M71" s="22">
        <v>2</v>
      </c>
      <c r="N71" s="22">
        <f t="shared" si="19"/>
        <v>1</v>
      </c>
      <c r="O71" s="22">
        <f t="shared" si="16"/>
        <v>6.2200000000000005E-2</v>
      </c>
      <c r="P71" s="33">
        <f t="shared" si="20"/>
        <v>55.825684524999993</v>
      </c>
      <c r="Q71" s="33"/>
      <c r="R71" s="33"/>
      <c r="S71" s="33"/>
      <c r="T71" s="33"/>
      <c r="U71" s="33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1">
        <f>K71</f>
        <v>238.08248380568682</v>
      </c>
      <c r="BU71" s="29"/>
      <c r="BV71" s="29"/>
      <c r="BW71" s="29"/>
      <c r="BX71" s="29"/>
      <c r="BY71" s="29"/>
      <c r="BZ71" s="29"/>
      <c r="CA71" s="29"/>
      <c r="CB71" s="29"/>
      <c r="CC71" s="20"/>
      <c r="CD71" s="29"/>
      <c r="CE71" s="29"/>
      <c r="CF71" s="29"/>
      <c r="CG71" s="29"/>
      <c r="CH71" s="29"/>
      <c r="CI71" s="29"/>
      <c r="CJ71" s="20"/>
      <c r="CK71" s="20"/>
      <c r="CL71" s="20"/>
      <c r="CM71" s="19"/>
      <c r="CN71" s="19"/>
      <c r="CO71" s="20"/>
      <c r="CP71" s="20"/>
      <c r="CQ71" s="20"/>
      <c r="CR71" s="20"/>
      <c r="CS71" s="20"/>
      <c r="CT71" s="20"/>
      <c r="CU71" s="20"/>
      <c r="CV71" s="20"/>
      <c r="CW71" s="29"/>
      <c r="CX71" s="29"/>
    </row>
    <row r="72" spans="3:102" ht="28.8">
      <c r="C72" s="32" t="s">
        <v>400</v>
      </c>
      <c r="D72" s="31" t="s">
        <v>147</v>
      </c>
      <c r="E72" s="62">
        <v>67</v>
      </c>
      <c r="F72" s="32" t="str">
        <f>IF(D72="","",VLOOKUP(D72,Preços!B:C,2,FALSE))</f>
        <v>REGISTRO DE  RECALQUE DUPLO</v>
      </c>
      <c r="G72" s="20">
        <f t="shared" si="18"/>
        <v>1614.27</v>
      </c>
      <c r="H72" s="20">
        <f t="shared" si="18"/>
        <v>103.56</v>
      </c>
      <c r="I72" s="20">
        <f>H72*BDI_SERVIÇOS_MATERIAIS!$E$11</f>
        <v>30.190672795352</v>
      </c>
      <c r="J72" s="20">
        <f>BDI_SERVIÇOS_MATERIAIS!$E$11*G72</f>
        <v>470.60542075466276</v>
      </c>
      <c r="K72" s="20">
        <f t="shared" si="14"/>
        <v>689.99271509405446</v>
      </c>
      <c r="L72" s="33">
        <v>4</v>
      </c>
      <c r="M72" s="22">
        <v>2</v>
      </c>
      <c r="N72" s="22">
        <f t="shared" si="19"/>
        <v>1</v>
      </c>
      <c r="O72" s="22">
        <f t="shared" si="16"/>
        <v>6.2200000000000005E-2</v>
      </c>
      <c r="P72" s="33">
        <f t="shared" si="20"/>
        <v>55.88788452499999</v>
      </c>
      <c r="Q72" s="33"/>
      <c r="R72" s="33"/>
      <c r="S72" s="33"/>
      <c r="T72" s="33"/>
      <c r="U72" s="33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1">
        <f>K72</f>
        <v>689.99271509405446</v>
      </c>
      <c r="BU72" s="29"/>
      <c r="BV72" s="29"/>
      <c r="BW72" s="29"/>
      <c r="BX72" s="29"/>
      <c r="BY72" s="29"/>
      <c r="BZ72" s="29"/>
      <c r="CA72" s="29"/>
      <c r="CB72" s="29"/>
      <c r="CC72" s="20"/>
      <c r="CD72" s="29"/>
      <c r="CE72" s="29"/>
      <c r="CF72" s="29"/>
      <c r="CG72" s="29"/>
      <c r="CH72" s="29"/>
      <c r="CI72" s="29"/>
      <c r="CJ72" s="20"/>
      <c r="CK72" s="20"/>
      <c r="CL72" s="20"/>
      <c r="CM72" s="19"/>
      <c r="CN72" s="19"/>
      <c r="CO72" s="20"/>
      <c r="CP72" s="20"/>
      <c r="CQ72" s="20"/>
      <c r="CR72" s="20"/>
      <c r="CS72" s="20"/>
      <c r="CT72" s="20"/>
      <c r="CU72" s="20"/>
      <c r="CV72" s="20"/>
      <c r="CW72" s="29"/>
      <c r="CX72" s="29"/>
    </row>
    <row r="73" spans="3:102" ht="28.8">
      <c r="C73" s="32" t="s">
        <v>400</v>
      </c>
      <c r="D73" s="31" t="s">
        <v>63</v>
      </c>
      <c r="E73" s="62">
        <v>68</v>
      </c>
      <c r="F73" s="32" t="str">
        <f>IF(D73="","",VLOOKUP(D73,Preços!B:C,2,FALSE))</f>
        <v xml:space="preserve">SPK PENDENTE K11 ( K160) RESPOSTA PADRÃO - COBERTURA </v>
      </c>
      <c r="G73" s="20">
        <f t="shared" si="18"/>
        <v>66811.997399999993</v>
      </c>
      <c r="H73" s="20">
        <f t="shared" si="18"/>
        <v>5050.0380000000005</v>
      </c>
      <c r="I73" s="20">
        <f>H73*BDI_SERVIÇOS_MATERIAIS!$E$11</f>
        <v>1472.2290929132275</v>
      </c>
      <c r="J73" s="20">
        <f>BDI_SERVIÇOS_MATERIAIS!$E$11*G73</f>
        <v>19477.589342480769</v>
      </c>
      <c r="K73" s="20">
        <f t="shared" si="14"/>
        <v>28864.486542807532</v>
      </c>
      <c r="L73" s="33">
        <f>1335*0.1</f>
        <v>133.5</v>
      </c>
      <c r="M73" s="22">
        <v>3</v>
      </c>
      <c r="N73" s="22">
        <f t="shared" si="19"/>
        <v>6</v>
      </c>
      <c r="O73" s="22">
        <f t="shared" si="16"/>
        <v>0.37319999999999998</v>
      </c>
      <c r="P73" s="33">
        <f>P72+O73</f>
        <v>56.261084524999987</v>
      </c>
      <c r="Q73" s="33"/>
      <c r="R73" s="33"/>
      <c r="S73" s="33"/>
      <c r="T73" s="33"/>
      <c r="U73" s="33"/>
      <c r="V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1">
        <f>K73</f>
        <v>28864.486542807532</v>
      </c>
      <c r="BV73" s="29"/>
      <c r="BW73" s="29"/>
      <c r="BX73" s="29"/>
      <c r="BY73" s="29"/>
      <c r="BZ73" s="29"/>
      <c r="CA73" s="29"/>
      <c r="CB73" s="29"/>
      <c r="CC73" s="20"/>
      <c r="CD73" s="29"/>
      <c r="CE73" s="29"/>
      <c r="CF73" s="29"/>
      <c r="CG73" s="29"/>
      <c r="CH73" s="29"/>
      <c r="CI73" s="29"/>
      <c r="CJ73" s="29"/>
      <c r="CK73" s="20"/>
      <c r="CL73" s="29"/>
      <c r="CM73" s="19"/>
      <c r="CN73" s="19"/>
      <c r="CO73" s="29"/>
      <c r="CP73" s="29"/>
      <c r="CQ73" s="29"/>
      <c r="CR73" s="29"/>
      <c r="CS73" s="29"/>
      <c r="CT73" s="29"/>
      <c r="CU73" s="29"/>
      <c r="CV73" s="29"/>
      <c r="CW73" s="29"/>
      <c r="CX73" s="29"/>
    </row>
    <row r="74" spans="3:102" ht="28.8">
      <c r="C74" s="32" t="s">
        <v>400</v>
      </c>
      <c r="D74" s="31" t="s">
        <v>64</v>
      </c>
      <c r="E74" s="62">
        <v>69</v>
      </c>
      <c r="F74" s="32" t="str">
        <f>IF(D74="","",VLOOKUP(D74,Preços!B:C,2,FALSE))</f>
        <v xml:space="preserve">SPK PENDENTE K8 ( K115) RESPOSTA RÁPIDA - INTERMEDIÁRIO </v>
      </c>
      <c r="G74" s="20">
        <f t="shared" si="18"/>
        <v>125368.16472</v>
      </c>
      <c r="H74" s="20">
        <f t="shared" si="18"/>
        <v>9600.7464</v>
      </c>
      <c r="I74" s="20">
        <f>H74*BDI_SERVIÇOS_MATERIAIS!$E$11</f>
        <v>2798.8894665271696</v>
      </c>
      <c r="J74" s="20">
        <f>BDI_SERVIÇOS_MATERIAIS!$E$11*G74</f>
        <v>36548.370413434845</v>
      </c>
      <c r="K74" s="20">
        <f t="shared" si="14"/>
        <v>54212.329180988192</v>
      </c>
      <c r="L74" s="33">
        <f>2538*0.1</f>
        <v>253.8</v>
      </c>
      <c r="M74" s="22">
        <v>3</v>
      </c>
      <c r="N74" s="22">
        <f t="shared" si="19"/>
        <v>11</v>
      </c>
      <c r="O74" s="22">
        <f t="shared" si="16"/>
        <v>0.68420000000000003</v>
      </c>
      <c r="P74" s="33">
        <f t="shared" ref="P74" si="21">O74+P73</f>
        <v>56.945284524999984</v>
      </c>
      <c r="Q74" s="33"/>
      <c r="R74" s="33"/>
      <c r="S74" s="33"/>
      <c r="T74" s="33"/>
      <c r="U74" s="33"/>
      <c r="V74" s="29"/>
      <c r="W74" s="29"/>
      <c r="X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1">
        <f>K74</f>
        <v>54212.329180988192</v>
      </c>
      <c r="BV74" s="29"/>
      <c r="BW74" s="29"/>
      <c r="BX74" s="29"/>
      <c r="BY74" s="29"/>
      <c r="BZ74" s="29"/>
      <c r="CA74" s="29"/>
      <c r="CB74" s="29"/>
      <c r="CC74" s="29"/>
      <c r="CD74" s="20"/>
      <c r="CE74" s="29"/>
      <c r="CF74" s="29"/>
      <c r="CG74" s="29"/>
      <c r="CH74" s="29"/>
      <c r="CI74" s="29"/>
      <c r="CJ74" s="29"/>
      <c r="CK74" s="29"/>
      <c r="CM74" s="19"/>
      <c r="CN74" s="19"/>
      <c r="CO74" s="29"/>
      <c r="CP74" s="29"/>
      <c r="CQ74" s="29"/>
      <c r="CR74" s="29"/>
      <c r="CS74" s="29"/>
      <c r="CT74" s="29"/>
      <c r="CU74" s="29"/>
      <c r="CV74" s="29"/>
      <c r="CW74" s="29"/>
      <c r="CX74" s="29"/>
    </row>
    <row r="75" spans="3:102" ht="86.4">
      <c r="C75" s="32" t="s">
        <v>401</v>
      </c>
      <c r="D75" s="31" t="s">
        <v>65</v>
      </c>
      <c r="E75" s="62">
        <v>70</v>
      </c>
      <c r="F75" s="32" t="str">
        <f>IF(D75="","",VLOOKUP(D75,Preços!B:C,2,FALSE))</f>
        <v>TUBO DE AÇO GALVANIZADO COM COSTURA, CLASSE MÉDIA, CONEXÃO ROSQUEADA, DN 25 (1"), INSTALADO EM REDE DE ALIMENTAÇÃO PARA SPRINKLER - FORNECIMENTO E INSTALAÇÃO. AF_10/2020</v>
      </c>
      <c r="G75" s="20">
        <f>G17</f>
        <v>71310.436118999991</v>
      </c>
      <c r="H75" s="20">
        <f>H17</f>
        <v>20877.489360000003</v>
      </c>
      <c r="I75" s="20">
        <f>H75*BDI_SERVIÇOS_MATERIAIS!$E$11</f>
        <v>6086.3793941309668</v>
      </c>
      <c r="J75" s="20">
        <f>BDI_SERVIÇOS_MATERIAIS!$E$11*G75</f>
        <v>20789.011623817882</v>
      </c>
      <c r="K75" s="20">
        <f t="shared" ref="K75:K103" si="22">(G75+H75+I75+J75)*26.2%</f>
        <v>31194.588922200601</v>
      </c>
      <c r="L75" s="33">
        <v>386.3</v>
      </c>
      <c r="M75" s="22">
        <v>2</v>
      </c>
      <c r="N75" s="22">
        <f>((L75/M75)/$D$2)</f>
        <v>24.143750000000001</v>
      </c>
      <c r="O75" s="22">
        <f>(ROUNDUP(N75/5,1))*26.2%</f>
        <v>1.2837999999999998</v>
      </c>
      <c r="P75" s="33">
        <f>P74+O75</f>
        <v>58.229084524999983</v>
      </c>
      <c r="Q75" s="33"/>
      <c r="R75" s="33"/>
      <c r="S75" s="33"/>
      <c r="T75" s="33"/>
      <c r="U75" s="33"/>
      <c r="V75" s="29"/>
      <c r="W75" s="29"/>
      <c r="X75" s="29"/>
      <c r="Y75" s="20"/>
      <c r="Z75" s="29"/>
      <c r="AA75" s="29"/>
      <c r="AB75" s="29"/>
      <c r="AC75" s="29"/>
      <c r="AD75" s="20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66"/>
      <c r="BV75" s="66"/>
      <c r="BW75" s="21">
        <f>K75</f>
        <v>31194.588922200601</v>
      </c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19"/>
      <c r="CN75" s="19"/>
      <c r="CO75" s="29"/>
      <c r="CP75" s="29"/>
      <c r="CQ75" s="29"/>
      <c r="CR75" s="29"/>
      <c r="CS75" s="29"/>
      <c r="CT75" s="29"/>
      <c r="CU75" s="29"/>
      <c r="CV75" s="29"/>
      <c r="CW75" s="29"/>
      <c r="CX75" s="29"/>
    </row>
    <row r="76" spans="3:102" ht="86.4">
      <c r="C76" s="32" t="s">
        <v>401</v>
      </c>
      <c r="D76" s="31" t="s">
        <v>66</v>
      </c>
      <c r="E76" s="62">
        <v>71</v>
      </c>
      <c r="F76" s="32" t="str">
        <f>IF(D76="","",VLOOKUP(D76,Preços!B:C,2,FALSE))</f>
        <v>TUBO DE AÇO GALVANIZADO COM COSTURA, CLASSE MÉDIA, CONEXÃO ROSQUEADA, DN 32 (1 1/4"), INSTALADO EM  REDE DE ALIMENTAÇÃO PARA SPRINKLER - FORNECIMENTO E INSTALAÇÃO. AF_10/2020</v>
      </c>
      <c r="G76" s="20">
        <f t="shared" ref="G76:H103" si="23">G18</f>
        <v>3147.1309999999999</v>
      </c>
      <c r="H76" s="20">
        <f t="shared" si="23"/>
        <v>820.54335999999989</v>
      </c>
      <c r="I76" s="20">
        <f>H76*BDI_SERVIÇOS_MATERIAIS!$E$11</f>
        <v>239.21162703899884</v>
      </c>
      <c r="J76" s="20">
        <f>BDI_SERVIÇOS_MATERIAIS!$E$11*G76</f>
        <v>917.47781252519246</v>
      </c>
      <c r="K76" s="20">
        <f t="shared" si="22"/>
        <v>1342.583315485818</v>
      </c>
      <c r="L76" s="33">
        <v>15.2</v>
      </c>
      <c r="M76" s="22">
        <v>2</v>
      </c>
      <c r="N76" s="22">
        <f t="shared" ref="N76:N103" si="24">((L76/M76)/$D$2)</f>
        <v>0.95</v>
      </c>
      <c r="O76" s="22">
        <f t="shared" ref="O76:O103" si="25">ROUNDUP(N76/5,1)*26.2%</f>
        <v>5.2400000000000002E-2</v>
      </c>
      <c r="P76" s="33">
        <f t="shared" ref="P76:P87" si="26">O76+P75</f>
        <v>58.281484524999982</v>
      </c>
      <c r="Q76" s="33"/>
      <c r="R76" s="33"/>
      <c r="S76" s="33"/>
      <c r="T76" s="33"/>
      <c r="U76" s="33"/>
      <c r="V76" s="29"/>
      <c r="W76" s="29"/>
      <c r="X76" s="29"/>
      <c r="Y76" s="29"/>
      <c r="Z76" s="29"/>
      <c r="AA76" s="29"/>
      <c r="AB76" s="29"/>
      <c r="AC76" s="29"/>
      <c r="AD76" s="20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1">
        <f>K76</f>
        <v>1342.583315485818</v>
      </c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19"/>
      <c r="CN76" s="19"/>
      <c r="CO76" s="29"/>
      <c r="CP76" s="29"/>
      <c r="CQ76" s="29"/>
      <c r="CR76" s="29"/>
      <c r="CS76" s="29"/>
      <c r="CT76" s="29"/>
      <c r="CU76" s="29"/>
      <c r="CV76" s="29"/>
      <c r="CW76" s="29"/>
      <c r="CX76" s="29"/>
    </row>
    <row r="77" spans="3:102" ht="86.4">
      <c r="C77" s="32" t="s">
        <v>401</v>
      </c>
      <c r="D77" s="31" t="s">
        <v>67</v>
      </c>
      <c r="E77" s="62">
        <v>72</v>
      </c>
      <c r="F77" s="32" t="str">
        <f>IF(D77="","",VLOOKUP(D77,Preços!B:C,2,FALSE))</f>
        <v>TUBO DE AÇO GALVANIZADO COM COSTURA, CLASSE MÉDIA, CONEXÃO ROSQUEADA, DN 40 (1 1/2"), INSTALADO EM REDE DE ALIMENTAÇÃO PARA SPRINKLER - FORNECIMENTO E INSTALAÇÃO. AF_10/2020</v>
      </c>
      <c r="G77" s="20">
        <f t="shared" si="23"/>
        <v>261933.10523999998</v>
      </c>
      <c r="H77" s="20">
        <f t="shared" si="23"/>
        <v>58795.087679999997</v>
      </c>
      <c r="I77" s="20">
        <f>H77*BDI_SERVIÇOS_MATERIAIS!$E$11</f>
        <v>17140.433122063649</v>
      </c>
      <c r="J77" s="20">
        <f>BDI_SERVIÇOS_MATERIAIS!$E$11*G77</f>
        <v>76360.918062681929</v>
      </c>
      <c r="K77" s="20">
        <f t="shared" si="22"/>
        <v>108528.14055544333</v>
      </c>
      <c r="L77" s="33">
        <v>1088</v>
      </c>
      <c r="M77" s="22">
        <v>3</v>
      </c>
      <c r="N77" s="22">
        <f t="shared" si="24"/>
        <v>45.333333333333336</v>
      </c>
      <c r="O77" s="22">
        <f t="shared" si="25"/>
        <v>2.3841999999999999</v>
      </c>
      <c r="P77" s="33">
        <f>O77+P76</f>
        <v>60.665684524999982</v>
      </c>
      <c r="Q77" s="33"/>
      <c r="R77" s="33"/>
      <c r="S77" s="33"/>
      <c r="T77" s="33"/>
      <c r="U77" s="33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0"/>
      <c r="AH77" s="29"/>
      <c r="AI77" s="29"/>
      <c r="AJ77" s="29"/>
      <c r="AK77" s="29"/>
      <c r="AL77" s="29"/>
      <c r="AM77" s="20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66"/>
      <c r="BX77" s="66"/>
      <c r="BY77" s="21">
        <f>K77</f>
        <v>108528.14055544333</v>
      </c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19"/>
      <c r="CN77" s="19"/>
      <c r="CO77" s="29"/>
      <c r="CP77" s="29"/>
      <c r="CQ77" s="29"/>
      <c r="CR77" s="29"/>
      <c r="CS77" s="29"/>
      <c r="CT77" s="29"/>
      <c r="CU77" s="29"/>
      <c r="CV77" s="29"/>
      <c r="CW77" s="29"/>
      <c r="CX77" s="29"/>
    </row>
    <row r="78" spans="3:102" ht="86.4">
      <c r="C78" s="32" t="s">
        <v>401</v>
      </c>
      <c r="D78" s="31" t="s">
        <v>68</v>
      </c>
      <c r="E78" s="62">
        <v>73</v>
      </c>
      <c r="F78" s="32" t="str">
        <f>IF(D78="","",VLOOKUP(D78,Preços!B:C,2,FALSE))</f>
        <v>TUBO DE AÇO GALVANIZADO COM COSTURA, CLASSE MÉDIA, CONEXÃO ROSQUEADA, DN 50 (2"), INSTALADO EM REDE DE ALIMENTAÇÃO PARA SPRINKLER - FORNECIMENTO E INSTALAÇÃO. AF_10/2020</v>
      </c>
      <c r="G78" s="20">
        <f t="shared" si="23"/>
        <v>316069.67034999997</v>
      </c>
      <c r="H78" s="20">
        <f t="shared" si="23"/>
        <v>52731.016100000001</v>
      </c>
      <c r="I78" s="20">
        <f>H78*BDI_SERVIÇOS_MATERIAIS!$E$11</f>
        <v>15372.584523382951</v>
      </c>
      <c r="J78" s="20">
        <f>BDI_SERVIÇOS_MATERIAIS!$E$11*G78</f>
        <v>92143.259927304156</v>
      </c>
      <c r="K78" s="20">
        <f t="shared" si="22"/>
        <v>124794.93109598002</v>
      </c>
      <c r="L78" s="33">
        <v>975.8</v>
      </c>
      <c r="M78" s="22">
        <v>3</v>
      </c>
      <c r="N78" s="22">
        <f t="shared" si="24"/>
        <v>40.658333333333331</v>
      </c>
      <c r="O78" s="22">
        <f t="shared" si="25"/>
        <v>2.1484000000000001</v>
      </c>
      <c r="P78" s="33">
        <f t="shared" si="26"/>
        <v>62.814084524999984</v>
      </c>
      <c r="Q78" s="33"/>
      <c r="R78" s="33"/>
      <c r="S78" s="33"/>
      <c r="T78" s="33"/>
      <c r="U78" s="33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0"/>
      <c r="AN78" s="29"/>
      <c r="AO78" s="29"/>
      <c r="AP78" s="29"/>
      <c r="AQ78" s="29"/>
      <c r="AR78" s="29"/>
      <c r="AS78" s="29"/>
      <c r="AT78" s="29"/>
      <c r="AU78" s="20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66"/>
      <c r="BZ78" s="66"/>
      <c r="CA78" s="21">
        <f>K78</f>
        <v>124794.93109598002</v>
      </c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19"/>
      <c r="CN78" s="19"/>
      <c r="CO78" s="29"/>
      <c r="CP78" s="29"/>
      <c r="CQ78" s="29"/>
      <c r="CR78" s="29"/>
      <c r="CS78" s="29"/>
      <c r="CT78" s="29"/>
      <c r="CU78" s="29"/>
      <c r="CV78" s="29"/>
      <c r="CW78" s="29"/>
      <c r="CX78" s="29"/>
    </row>
    <row r="79" spans="3:102" ht="86.4">
      <c r="C79" s="32" t="s">
        <v>401</v>
      </c>
      <c r="D79" s="31" t="s">
        <v>69</v>
      </c>
      <c r="E79" s="62">
        <v>74</v>
      </c>
      <c r="F79" s="32" t="str">
        <f>IF(D79="","",VLOOKUP(D79,Preços!B:C,2,FALSE))</f>
        <v>TUBO DE AÇO GALVANIZADO COM COSTURA, CLASSE MÉDIA, CONEXÃO ROSQUEADA, DN 65 (2 1/2"), INSTALADO EM REDE DE ALIMENTAÇÃO PARA SPRINKLER - FORNECIMENTO E INSTALAÇÃO. AF_10/2020</v>
      </c>
      <c r="G79" s="20">
        <f t="shared" si="23"/>
        <v>62686.083107499995</v>
      </c>
      <c r="H79" s="20">
        <f t="shared" si="23"/>
        <v>9289.2733499999995</v>
      </c>
      <c r="I79" s="20">
        <f>H79*BDI_SERVIÇOS_MATERIAIS!$E$11</f>
        <v>2708.0862516071197</v>
      </c>
      <c r="J79" s="20">
        <f>BDI_SERVIÇOS_MATERIAIS!$E$11*G79</f>
        <v>18274.768481274379</v>
      </c>
      <c r="K79" s="20">
        <f t="shared" si="22"/>
        <v>24355.051331879953</v>
      </c>
      <c r="L79" s="33">
        <v>171.9</v>
      </c>
      <c r="M79" s="22">
        <v>3</v>
      </c>
      <c r="N79" s="22">
        <f t="shared" si="24"/>
        <v>7.1625000000000005</v>
      </c>
      <c r="O79" s="22">
        <f t="shared" si="25"/>
        <v>0.39300000000000002</v>
      </c>
      <c r="P79" s="33">
        <f t="shared" si="26"/>
        <v>63.207084524999985</v>
      </c>
      <c r="Q79" s="33"/>
      <c r="R79" s="33"/>
      <c r="S79" s="33"/>
      <c r="T79" s="33"/>
      <c r="U79" s="33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0"/>
      <c r="AV79" s="29"/>
      <c r="AW79" s="20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73"/>
      <c r="CB79" s="21">
        <f>K79</f>
        <v>24355.051331879953</v>
      </c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19"/>
      <c r="CN79" s="19"/>
      <c r="CO79" s="29"/>
      <c r="CP79" s="29"/>
      <c r="CQ79" s="29"/>
      <c r="CR79" s="29"/>
      <c r="CS79" s="29"/>
      <c r="CT79" s="29"/>
      <c r="CU79" s="29"/>
      <c r="CV79" s="29"/>
      <c r="CW79" s="29"/>
      <c r="CX79" s="29"/>
    </row>
    <row r="80" spans="3:102" ht="43.2">
      <c r="C80" s="32" t="s">
        <v>401</v>
      </c>
      <c r="D80" s="31" t="s">
        <v>70</v>
      </c>
      <c r="E80" s="62">
        <v>75</v>
      </c>
      <c r="F80" s="32" t="str">
        <f>IF(D80="","",VLOOKUP(D80,Preços!B:C,2,FALSE))</f>
        <v xml:space="preserve">TUBO AÇO GALVANIZADO  COM COSTURA, NBR 5580, CLASSE L, DN = 100MM </v>
      </c>
      <c r="G80" s="20">
        <f t="shared" si="23"/>
        <v>114044.61105799999</v>
      </c>
      <c r="H80" s="20">
        <f t="shared" si="23"/>
        <v>11893.933800000003</v>
      </c>
      <c r="I80" s="20">
        <f>H80*BDI_SERVIÇOS_MATERIAIS!$E$11</f>
        <v>3467.4185361662585</v>
      </c>
      <c r="J80" s="20">
        <f>BDI_SERVIÇOS_MATERIAIS!$E$11*G80</f>
        <v>33247.233840529749</v>
      </c>
      <c r="K80" s="20">
        <f t="shared" si="22"/>
        <v>42615.137675490354</v>
      </c>
      <c r="L80" s="33">
        <v>14.4</v>
      </c>
      <c r="M80" s="22">
        <v>2</v>
      </c>
      <c r="N80" s="22">
        <f t="shared" si="24"/>
        <v>0.9</v>
      </c>
      <c r="O80" s="22">
        <f t="shared" si="25"/>
        <v>5.2400000000000002E-2</v>
      </c>
      <c r="P80" s="33">
        <f t="shared" si="26"/>
        <v>63.259484524999984</v>
      </c>
      <c r="Q80" s="33"/>
      <c r="R80" s="33"/>
      <c r="S80" s="33"/>
      <c r="T80" s="33"/>
      <c r="U80" s="33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0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1">
        <f>K80</f>
        <v>42615.137675490354</v>
      </c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19"/>
      <c r="CN80" s="19"/>
      <c r="CO80" s="29"/>
      <c r="CP80" s="29"/>
      <c r="CQ80" s="29"/>
      <c r="CR80" s="29"/>
      <c r="CS80" s="29"/>
      <c r="CT80" s="29"/>
      <c r="CU80" s="29"/>
      <c r="CV80" s="29"/>
      <c r="CW80" s="29"/>
      <c r="CX80" s="29"/>
    </row>
    <row r="81" spans="3:102" ht="43.2">
      <c r="C81" s="32" t="s">
        <v>401</v>
      </c>
      <c r="D81" s="31" t="s">
        <v>71</v>
      </c>
      <c r="E81" s="62">
        <v>76</v>
      </c>
      <c r="F81" s="32" t="str">
        <f>IF(D81="","",VLOOKUP(D81,Preços!B:C,2,FALSE))</f>
        <v xml:space="preserve">TUBO AÇO GALVANIZADO  COM COSTURA, NBR 5580, CLASSE L, DN = 150MM </v>
      </c>
      <c r="G81" s="20">
        <f t="shared" si="23"/>
        <v>41986.874188999995</v>
      </c>
      <c r="H81" s="20">
        <f t="shared" si="23"/>
        <v>5094.0805999999993</v>
      </c>
      <c r="I81" s="20">
        <f>H81*BDI_SERVIÇOS_MATERIAIS!$E$11</f>
        <v>1485.0687580895169</v>
      </c>
      <c r="J81" s="20">
        <f>BDI_SERVIÇOS_MATERIAIS!$E$11*G81</f>
        <v>12240.362884701712</v>
      </c>
      <c r="K81" s="20">
        <f t="shared" si="22"/>
        <v>15931.273245129301</v>
      </c>
      <c r="L81" s="33">
        <v>1.04</v>
      </c>
      <c r="M81" s="22">
        <v>2</v>
      </c>
      <c r="N81" s="22">
        <f t="shared" si="24"/>
        <v>6.5000000000000002E-2</v>
      </c>
      <c r="O81" s="22">
        <f t="shared" si="25"/>
        <v>2.6200000000000001E-2</v>
      </c>
      <c r="P81" s="33">
        <f>O81+P80</f>
        <v>63.285684524999986</v>
      </c>
      <c r="Q81" s="33"/>
      <c r="R81" s="33"/>
      <c r="S81" s="33"/>
      <c r="T81" s="33"/>
      <c r="U81" s="33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0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1">
        <f>K81</f>
        <v>15931.273245129301</v>
      </c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19"/>
      <c r="CN81" s="19"/>
      <c r="CO81" s="29"/>
      <c r="CP81" s="29"/>
      <c r="CQ81" s="29"/>
      <c r="CR81" s="29"/>
      <c r="CS81" s="29"/>
      <c r="CT81" s="29"/>
      <c r="CU81" s="29"/>
      <c r="CV81" s="29"/>
      <c r="CW81" s="29"/>
      <c r="CX81" s="29"/>
    </row>
    <row r="82" spans="3:102" ht="86.4">
      <c r="C82" s="32" t="s">
        <v>401</v>
      </c>
      <c r="D82" s="31" t="s">
        <v>84</v>
      </c>
      <c r="E82" s="62">
        <v>77</v>
      </c>
      <c r="F82" s="32" t="str">
        <f>IF(D82="","",VLOOKUP(D82,Preços!B:C,2,FALSE))</f>
        <v>JOELHO 90 GRAUS, EM FERRO GALVANIZADO, CONEXÃO ROSQUEADA, DN 25 (1"), INSTALADO EM REDE DE ALIMENTAÇÃO PARA SPRINKLER - FORNECIMENTO E INSTALAÇÃO. AF_12/2015</v>
      </c>
      <c r="G82" s="20">
        <f t="shared" si="23"/>
        <v>14861.2714</v>
      </c>
      <c r="H82" s="20">
        <f t="shared" si="23"/>
        <v>21886.091919999999</v>
      </c>
      <c r="I82" s="20">
        <f>H82*BDI_SERVIÇOS_MATERIAIS!$E$11</f>
        <v>6380.4156037632019</v>
      </c>
      <c r="J82" s="20">
        <f>BDI_SERVIÇOS_MATERIAIS!$E$11*G82</f>
        <v>4332.4814808837655</v>
      </c>
      <c r="K82" s="20">
        <f t="shared" si="22"/>
        <v>12434.588226017506</v>
      </c>
      <c r="L82" s="33">
        <v>404.99799999999999</v>
      </c>
      <c r="M82" s="22">
        <v>3</v>
      </c>
      <c r="N82" s="22">
        <f t="shared" si="24"/>
        <v>16.874916666666667</v>
      </c>
      <c r="O82" s="22">
        <f t="shared" si="25"/>
        <v>0.89080000000000004</v>
      </c>
      <c r="P82" s="33">
        <f t="shared" si="26"/>
        <v>64.176484524999992</v>
      </c>
      <c r="Q82" s="33"/>
      <c r="R82" s="33"/>
      <c r="S82" s="33"/>
      <c r="T82" s="33"/>
      <c r="U82" s="33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0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1">
        <f>K82</f>
        <v>12434.588226017506</v>
      </c>
      <c r="CD82" s="29"/>
      <c r="CE82" s="29"/>
      <c r="CF82" s="29"/>
      <c r="CG82" s="29"/>
      <c r="CH82" s="29"/>
      <c r="CI82" s="29"/>
      <c r="CJ82" s="29"/>
      <c r="CK82" s="29"/>
      <c r="CL82" s="29"/>
      <c r="CM82" s="19"/>
      <c r="CN82" s="19"/>
      <c r="CO82" s="29"/>
      <c r="CP82" s="29"/>
      <c r="CQ82" s="29"/>
      <c r="CR82" s="29"/>
      <c r="CS82" s="29"/>
      <c r="CT82" s="29"/>
      <c r="CU82" s="29"/>
      <c r="CV82" s="29"/>
      <c r="CW82" s="29"/>
      <c r="CX82" s="29"/>
    </row>
    <row r="83" spans="3:102" ht="86.4">
      <c r="C83" s="32" t="s">
        <v>401</v>
      </c>
      <c r="D83" s="31" t="s">
        <v>85</v>
      </c>
      <c r="E83" s="62">
        <v>78</v>
      </c>
      <c r="F83" s="32" t="str">
        <f>IF(D83="","",VLOOKUP(D83,Preços!B:C,2,FALSE))</f>
        <v>JOELHO 90 GRAUS, EM FERRO GALVANIZADO, CONEXÃO ROSQUEADA, DN 32 (1 1/4"), INSTALADO EM REDE DE ALIMENTAÇÃO PARA SPRINKLER - FORNECIMENTO E INSTALAÇÃO. AF_10/2020</v>
      </c>
      <c r="G83" s="20">
        <f t="shared" si="23"/>
        <v>414.07711999999998</v>
      </c>
      <c r="H83" s="20">
        <f t="shared" si="23"/>
        <v>412.43327999999997</v>
      </c>
      <c r="I83" s="20">
        <f>H83*BDI_SERVIÇOS_MATERIAIS!$E$11</f>
        <v>120.23598113551365</v>
      </c>
      <c r="J83" s="20">
        <f>BDI_SERVIÇOS_MATERIAIS!$E$11*G83</f>
        <v>120.71520704868391</v>
      </c>
      <c r="K83" s="20">
        <f t="shared" si="22"/>
        <v>279.6749361042597</v>
      </c>
      <c r="L83" s="33">
        <v>7.6</v>
      </c>
      <c r="M83" s="22">
        <v>2</v>
      </c>
      <c r="N83" s="22">
        <f t="shared" si="24"/>
        <v>0.47499999999999998</v>
      </c>
      <c r="O83" s="22">
        <f t="shared" si="25"/>
        <v>2.6200000000000001E-2</v>
      </c>
      <c r="P83" s="33">
        <f t="shared" si="26"/>
        <v>64.202684524999995</v>
      </c>
      <c r="Q83" s="33"/>
      <c r="R83" s="33"/>
      <c r="S83" s="33"/>
      <c r="T83" s="33"/>
      <c r="U83" s="33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0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1">
        <f>K83</f>
        <v>279.6749361042597</v>
      </c>
      <c r="CD83" s="29"/>
      <c r="CE83" s="29"/>
      <c r="CF83" s="29"/>
      <c r="CG83" s="29"/>
      <c r="CH83" s="29"/>
      <c r="CI83" s="29"/>
      <c r="CJ83" s="29"/>
      <c r="CK83" s="29"/>
      <c r="CL83" s="29"/>
      <c r="CM83" s="19"/>
      <c r="CN83" s="19"/>
      <c r="CO83" s="29"/>
      <c r="CP83" s="29"/>
      <c r="CQ83" s="29"/>
      <c r="CR83" s="29"/>
      <c r="CS83" s="29"/>
      <c r="CT83" s="29"/>
      <c r="CU83" s="29"/>
      <c r="CV83" s="29"/>
      <c r="CW83" s="29"/>
      <c r="CX83" s="29"/>
    </row>
    <row r="84" spans="3:102" ht="28.8">
      <c r="C84" s="32" t="s">
        <v>401</v>
      </c>
      <c r="D84" s="31" t="s">
        <v>86</v>
      </c>
      <c r="E84" s="62">
        <v>79</v>
      </c>
      <c r="F84" s="32" t="str">
        <f>IF(D84="","",VLOOKUP(D84,Preços!B:C,2,FALSE))</f>
        <v>COTOVELO DE AÇO GALVANIZADO 4" - FORNECIMENTO E INSTALAÇÃO</v>
      </c>
      <c r="G84" s="20">
        <f t="shared" si="23"/>
        <v>6384</v>
      </c>
      <c r="H84" s="20">
        <f t="shared" si="23"/>
        <v>1229.7750000000001</v>
      </c>
      <c r="I84" s="20">
        <f>H84*BDI_SERVIÇOS_MATERIAIS!$E$11</f>
        <v>358.51423944480501</v>
      </c>
      <c r="J84" s="20">
        <f>BDI_SERVIÇOS_MATERIAIS!$E$11*G84</f>
        <v>1861.1167934098801</v>
      </c>
      <c r="K84" s="20">
        <f t="shared" si="22"/>
        <v>2576.3523806079274</v>
      </c>
      <c r="L84" s="33">
        <v>23.75</v>
      </c>
      <c r="M84" s="22">
        <v>2</v>
      </c>
      <c r="N84" s="22">
        <f t="shared" si="24"/>
        <v>1.484375</v>
      </c>
      <c r="O84" s="22">
        <f t="shared" si="25"/>
        <v>7.8600000000000017E-2</v>
      </c>
      <c r="P84" s="33">
        <f t="shared" si="26"/>
        <v>64.28128452499999</v>
      </c>
      <c r="Q84" s="33"/>
      <c r="R84" s="33"/>
      <c r="S84" s="33"/>
      <c r="T84" s="33"/>
      <c r="U84" s="33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0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1">
        <f>K84</f>
        <v>2576.3523806079274</v>
      </c>
      <c r="CD84" s="29"/>
      <c r="CE84" s="29"/>
      <c r="CF84" s="29"/>
      <c r="CG84" s="29"/>
      <c r="CH84" s="29"/>
      <c r="CI84" s="29"/>
      <c r="CJ84" s="29"/>
      <c r="CK84" s="29"/>
      <c r="CL84" s="29"/>
      <c r="CM84" s="19"/>
      <c r="CN84" s="19"/>
      <c r="CO84" s="29"/>
      <c r="CP84" s="29"/>
      <c r="CQ84" s="29"/>
      <c r="CR84" s="29"/>
      <c r="CS84" s="29"/>
      <c r="CT84" s="29"/>
      <c r="CU84" s="29"/>
      <c r="CV84" s="29"/>
      <c r="CW84" s="29"/>
      <c r="CX84" s="29"/>
    </row>
    <row r="85" spans="3:102" ht="72">
      <c r="C85" s="32" t="s">
        <v>401</v>
      </c>
      <c r="D85" s="31" t="s">
        <v>87</v>
      </c>
      <c r="E85" s="62">
        <v>80</v>
      </c>
      <c r="F85" s="32" t="str">
        <f>IF(D85="","",VLOOKUP(D85,Preços!B:C,2,FALSE))</f>
        <v xml:space="preserve">COTOVELO DE 90 GRAUS, DE REDUÇÃO EM FERRO GALVANIZADO, CONEXÃO ROSQUEADA, 1"X3/4", INSTALADO EM REDE DE ALIMENTAÇÃO PARA SPRINKLER - FORNECIMENTO E INSTALAÇÃO. </v>
      </c>
      <c r="G85" s="20">
        <f t="shared" si="23"/>
        <v>21419.019899999999</v>
      </c>
      <c r="H85" s="20">
        <f t="shared" si="23"/>
        <v>27857.241720000002</v>
      </c>
      <c r="I85" s="20">
        <f>H85*BDI_SERVIÇOS_MATERIAIS!$E$11</f>
        <v>8121.1748720504911</v>
      </c>
      <c r="J85" s="20">
        <f>BDI_SERVIÇOS_MATERIAIS!$E$11*G85</f>
        <v>6244.250882561154</v>
      </c>
      <c r="K85" s="20">
        <f t="shared" si="22"/>
        <v>16674.122092148253</v>
      </c>
      <c r="L85" s="33">
        <v>515.5</v>
      </c>
      <c r="M85" s="22">
        <v>3</v>
      </c>
      <c r="N85" s="22">
        <f t="shared" si="24"/>
        <v>21.479166666666668</v>
      </c>
      <c r="O85" s="22">
        <f t="shared" si="25"/>
        <v>1.1266</v>
      </c>
      <c r="P85" s="33">
        <f t="shared" si="26"/>
        <v>65.407884524999986</v>
      </c>
      <c r="Q85" s="33"/>
      <c r="R85" s="33"/>
      <c r="S85" s="33"/>
      <c r="T85" s="33"/>
      <c r="U85" s="33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0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1">
        <f>K85</f>
        <v>16674.122092148253</v>
      </c>
      <c r="CE85" s="29"/>
      <c r="CF85" s="29"/>
      <c r="CG85" s="29"/>
      <c r="CH85" s="29"/>
      <c r="CI85" s="29"/>
      <c r="CJ85" s="29"/>
      <c r="CK85" s="29"/>
      <c r="CL85" s="29"/>
      <c r="CM85" s="19"/>
      <c r="CN85" s="19"/>
      <c r="CO85" s="29"/>
      <c r="CP85" s="29"/>
      <c r="CQ85" s="29"/>
      <c r="CR85" s="29"/>
      <c r="CS85" s="29"/>
      <c r="CT85" s="29"/>
      <c r="CU85" s="29"/>
      <c r="CV85" s="29"/>
      <c r="CW85" s="29"/>
      <c r="CX85" s="29"/>
    </row>
    <row r="86" spans="3:102" ht="72">
      <c r="C86" s="32" t="s">
        <v>401</v>
      </c>
      <c r="D86" s="31" t="s">
        <v>88</v>
      </c>
      <c r="E86" s="62">
        <v>81</v>
      </c>
      <c r="F86" s="32" t="str">
        <f>IF(D86="","",VLOOKUP(D86,Preços!B:C,2,FALSE))</f>
        <v>COTOVELO 90 GRAUS,DE REDUÇÃO EM FERRO GALVANIZADO, CONEXÃO ROSQUEADA, 2"X1.1/2", INSTALADO EM REDE DE ALIMENTAÇÃO PARA SPRINKLER - FORNECIMENTO E INSTALAÇÃO</v>
      </c>
      <c r="G86" s="20">
        <f t="shared" si="23"/>
        <v>15544.41504</v>
      </c>
      <c r="H86" s="20">
        <f t="shared" si="23"/>
        <v>7101.1802399999997</v>
      </c>
      <c r="I86" s="20">
        <f>H86*BDI_SERVIÇOS_MATERIAIS!$E$11</f>
        <v>2070.195143749123</v>
      </c>
      <c r="J86" s="20">
        <f>BDI_SERVIÇOS_MATERIAIS!$E$11*G86</f>
        <v>4531.6371984143343</v>
      </c>
      <c r="K86" s="20">
        <f t="shared" si="22"/>
        <v>7662.8260370068265</v>
      </c>
      <c r="L86" s="33">
        <v>131.4</v>
      </c>
      <c r="M86" s="22">
        <v>3</v>
      </c>
      <c r="N86" s="22">
        <f t="shared" si="24"/>
        <v>5.4750000000000005</v>
      </c>
      <c r="O86" s="22">
        <f t="shared" si="25"/>
        <v>0.28820000000000001</v>
      </c>
      <c r="P86" s="33">
        <f t="shared" si="26"/>
        <v>65.696084524999989</v>
      </c>
      <c r="Q86" s="33"/>
      <c r="R86" s="33"/>
      <c r="S86" s="33"/>
      <c r="T86" s="33"/>
      <c r="U86" s="33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0"/>
      <c r="BJ86" s="20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1">
        <f>K86</f>
        <v>7662.8260370068265</v>
      </c>
      <c r="CE86" s="29"/>
      <c r="CF86" s="29"/>
      <c r="CG86" s="29"/>
      <c r="CH86" s="29"/>
      <c r="CI86" s="29"/>
      <c r="CJ86" s="29"/>
      <c r="CK86" s="29"/>
      <c r="CL86" s="29"/>
      <c r="CM86" s="19"/>
      <c r="CN86" s="19"/>
      <c r="CO86" s="29"/>
      <c r="CP86" s="29"/>
      <c r="CQ86" s="29"/>
      <c r="CR86" s="29"/>
      <c r="CS86" s="29"/>
      <c r="CT86" s="29"/>
      <c r="CU86" s="29"/>
      <c r="CV86" s="29"/>
      <c r="CW86" s="29"/>
      <c r="CX86" s="29"/>
    </row>
    <row r="87" spans="3:102" ht="28.8">
      <c r="C87" s="32" t="s">
        <v>401</v>
      </c>
      <c r="D87" s="31" t="s">
        <v>89</v>
      </c>
      <c r="E87" s="62">
        <v>82</v>
      </c>
      <c r="F87" s="32" t="str">
        <f>IF(D87="","",VLOOKUP(D87,Preços!B:C,2,FALSE))</f>
        <v>COTOVELO 90 GRAUS AÇO GALVANIZADO , REDUÇÃO 2.1/2" X 2"</v>
      </c>
      <c r="G87" s="20">
        <f t="shared" si="23"/>
        <v>2572.7647999999999</v>
      </c>
      <c r="H87" s="20">
        <f t="shared" si="23"/>
        <v>1292.6367999999998</v>
      </c>
      <c r="I87" s="20">
        <f>H87*BDI_SERVIÇOS_MATERIAIS!$E$11</f>
        <v>376.84023437650501</v>
      </c>
      <c r="J87" s="20">
        <f>BDI_SERVIÇOS_MATERIAIS!$E$11*G87</f>
        <v>750.03379930667472</v>
      </c>
      <c r="K87" s="20">
        <f t="shared" si="22"/>
        <v>1307.9762160249932</v>
      </c>
      <c r="L87" s="33">
        <v>23.9</v>
      </c>
      <c r="M87" s="22">
        <v>2</v>
      </c>
      <c r="N87" s="22">
        <f t="shared" si="24"/>
        <v>1.4937499999999999</v>
      </c>
      <c r="O87" s="22">
        <f t="shared" si="25"/>
        <v>7.8600000000000017E-2</v>
      </c>
      <c r="P87" s="33">
        <f t="shared" si="26"/>
        <v>65.774684524999984</v>
      </c>
      <c r="Q87" s="33"/>
      <c r="R87" s="33"/>
      <c r="S87" s="33"/>
      <c r="T87" s="33"/>
      <c r="U87" s="33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0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1">
        <f>K87</f>
        <v>1307.9762160249932</v>
      </c>
      <c r="CE87" s="29"/>
      <c r="CF87" s="29"/>
      <c r="CG87" s="29"/>
      <c r="CH87" s="29"/>
      <c r="CI87" s="29"/>
      <c r="CJ87" s="29"/>
      <c r="CK87" s="29"/>
      <c r="CL87" s="29"/>
      <c r="CM87" s="19"/>
      <c r="CN87" s="19"/>
      <c r="CO87" s="29"/>
      <c r="CP87" s="29"/>
      <c r="CQ87" s="29"/>
      <c r="CR87" s="29"/>
      <c r="CS87" s="29"/>
      <c r="CT87" s="29"/>
      <c r="CU87" s="29"/>
      <c r="CV87" s="29"/>
      <c r="CW87" s="29"/>
      <c r="CX87" s="29"/>
    </row>
    <row r="88" spans="3:102" ht="28.8">
      <c r="C88" s="32" t="s">
        <v>401</v>
      </c>
      <c r="D88" s="31" t="s">
        <v>90</v>
      </c>
      <c r="E88" s="62">
        <v>83</v>
      </c>
      <c r="F88" s="32" t="str">
        <f>IF(D88="","",VLOOKUP(D88,Preços!B:C,2,FALSE))</f>
        <v>COTOVELO 90 GRAUS AÇO GALVANIZADO , REDUÇÃO 4" X 2"</v>
      </c>
      <c r="G88" s="20">
        <f t="shared" si="23"/>
        <v>2224.2673000000004</v>
      </c>
      <c r="H88" s="20">
        <f t="shared" si="23"/>
        <v>256.69</v>
      </c>
      <c r="I88" s="20">
        <f>H88*BDI_SERVIÇOS_MATERIAIS!$E$11</f>
        <v>74.832404401688919</v>
      </c>
      <c r="J88" s="20">
        <f>BDI_SERVIÇOS_MATERIAIS!$E$11*G88</f>
        <v>648.43690868772751</v>
      </c>
      <c r="K88" s="20">
        <f t="shared" si="22"/>
        <v>839.50737262942721</v>
      </c>
      <c r="L88" s="33">
        <v>23.9</v>
      </c>
      <c r="M88" s="22">
        <v>2</v>
      </c>
      <c r="N88" s="22">
        <f t="shared" si="24"/>
        <v>1.4937499999999999</v>
      </c>
      <c r="O88" s="22">
        <f t="shared" si="25"/>
        <v>7.8600000000000017E-2</v>
      </c>
      <c r="P88" s="33">
        <f>O88+P87</f>
        <v>65.853284524999978</v>
      </c>
      <c r="Q88" s="33"/>
      <c r="R88" s="33"/>
      <c r="S88" s="33"/>
      <c r="T88" s="33"/>
      <c r="U88" s="33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0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1">
        <f>K88</f>
        <v>839.50737262942721</v>
      </c>
      <c r="CE88" s="29"/>
      <c r="CF88" s="29"/>
      <c r="CG88" s="29"/>
      <c r="CH88" s="29"/>
      <c r="CI88" s="29"/>
      <c r="CJ88" s="29"/>
      <c r="CK88" s="29"/>
      <c r="CL88" s="29"/>
      <c r="CM88" s="19"/>
      <c r="CN88" s="19"/>
      <c r="CO88" s="29"/>
      <c r="CP88" s="29"/>
      <c r="CQ88" s="29"/>
      <c r="CR88" s="29"/>
      <c r="CS88" s="29"/>
      <c r="CT88" s="29"/>
      <c r="CU88" s="29"/>
      <c r="CV88" s="29"/>
      <c r="CW88" s="29"/>
      <c r="CX88" s="29"/>
    </row>
    <row r="89" spans="3:102" ht="28.8">
      <c r="C89" s="32" t="s">
        <v>401</v>
      </c>
      <c r="D89" s="31" t="s">
        <v>91</v>
      </c>
      <c r="E89" s="62">
        <v>84</v>
      </c>
      <c r="F89" s="32" t="str">
        <f>IF(D89="","",VLOOKUP(D89,Preços!B:C,2,FALSE))</f>
        <v>COTOVELO 90 GRAUS AÇO GALVANIZADO , REDUÇÃO 4" X 2.1/2"</v>
      </c>
      <c r="G89" s="20">
        <f t="shared" si="23"/>
        <v>4003.6811400000001</v>
      </c>
      <c r="H89" s="20">
        <f t="shared" si="23"/>
        <v>462.04199999999992</v>
      </c>
      <c r="I89" s="20">
        <f>H89*BDI_SERVIÇOS_MATERIAIS!$E$11</f>
        <v>134.69832792304004</v>
      </c>
      <c r="J89" s="20">
        <f>BDI_SERVIÇOS_MATERIAIS!$E$11*G89</f>
        <v>1167.1864356379094</v>
      </c>
      <c r="K89" s="20">
        <f t="shared" si="22"/>
        <v>1511.1132707329687</v>
      </c>
      <c r="L89" s="33">
        <v>8.6</v>
      </c>
      <c r="M89" s="22">
        <v>2</v>
      </c>
      <c r="N89" s="22">
        <f t="shared" si="24"/>
        <v>0.53749999999999998</v>
      </c>
      <c r="O89" s="22">
        <f t="shared" si="25"/>
        <v>5.2400000000000002E-2</v>
      </c>
      <c r="P89" s="33">
        <f t="shared" ref="P89:P101" si="27">O89+P88</f>
        <v>65.905684524999984</v>
      </c>
      <c r="Q89" s="33"/>
      <c r="R89" s="33"/>
      <c r="S89" s="33"/>
      <c r="T89" s="33"/>
      <c r="U89" s="33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0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1">
        <f>K89</f>
        <v>1511.1132707329687</v>
      </c>
      <c r="CE89" s="29"/>
      <c r="CF89" s="29"/>
      <c r="CG89" s="29"/>
      <c r="CH89" s="29"/>
      <c r="CI89" s="29"/>
      <c r="CJ89" s="29"/>
      <c r="CK89" s="29"/>
      <c r="CL89" s="29"/>
      <c r="CM89" s="19"/>
      <c r="CN89" s="19"/>
      <c r="CO89" s="29"/>
      <c r="CP89" s="29"/>
      <c r="CQ89" s="29"/>
      <c r="CR89" s="29"/>
      <c r="CS89" s="29"/>
      <c r="CT89" s="29"/>
      <c r="CU89" s="29"/>
      <c r="CV89" s="29"/>
      <c r="CW89" s="29"/>
      <c r="CX89" s="29"/>
    </row>
    <row r="90" spans="3:102" ht="28.8">
      <c r="C90" s="32" t="s">
        <v>401</v>
      </c>
      <c r="D90" s="31" t="s">
        <v>92</v>
      </c>
      <c r="E90" s="62">
        <v>85</v>
      </c>
      <c r="F90" s="32" t="str">
        <f>IF(D90="","",VLOOKUP(D90,Preços!B:C,2,FALSE))</f>
        <v>TE DE REDUCAO DE   1"X3/4"</v>
      </c>
      <c r="G90" s="20">
        <f t="shared" si="23"/>
        <v>30303.587599999999</v>
      </c>
      <c r="H90" s="20">
        <f t="shared" si="23"/>
        <v>36570.27304</v>
      </c>
      <c r="I90" s="20">
        <f>H90*BDI_SERVIÇOS_MATERIAIS!$E$11</f>
        <v>10661.27025287102</v>
      </c>
      <c r="J90" s="20">
        <f>BDI_SERVIÇOS_MATERIAIS!$E$11*G90</f>
        <v>8834.353976022463</v>
      </c>
      <c r="K90" s="20">
        <f t="shared" si="22"/>
        <v>22628.805035650093</v>
      </c>
      <c r="L90" s="33">
        <v>676.7</v>
      </c>
      <c r="M90" s="22">
        <v>3</v>
      </c>
      <c r="N90" s="22">
        <f t="shared" si="24"/>
        <v>28.195833333333336</v>
      </c>
      <c r="O90" s="22">
        <f t="shared" si="25"/>
        <v>1.4933999999999998</v>
      </c>
      <c r="P90" s="33">
        <f t="shared" si="27"/>
        <v>67.399084524999978</v>
      </c>
      <c r="Q90" s="33"/>
      <c r="R90" s="33"/>
      <c r="S90" s="33"/>
      <c r="T90" s="33"/>
      <c r="U90" s="33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0"/>
      <c r="BN90" s="29"/>
      <c r="BO90" s="29"/>
      <c r="BP90" s="20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66"/>
      <c r="CE90" s="66"/>
      <c r="CF90" s="21">
        <f>K90</f>
        <v>22628.805035650093</v>
      </c>
      <c r="CG90" s="29"/>
      <c r="CH90" s="29"/>
      <c r="CI90" s="29"/>
      <c r="CJ90" s="29"/>
      <c r="CK90" s="29"/>
      <c r="CL90" s="29"/>
      <c r="CM90" s="19"/>
      <c r="CN90" s="19"/>
      <c r="CO90" s="29"/>
      <c r="CP90" s="29"/>
      <c r="CQ90" s="29"/>
      <c r="CR90" s="29"/>
      <c r="CS90" s="29"/>
      <c r="CT90" s="29"/>
      <c r="CU90" s="29"/>
      <c r="CV90" s="29"/>
      <c r="CW90" s="29"/>
      <c r="CX90" s="29"/>
    </row>
    <row r="91" spans="3:102" ht="28.8">
      <c r="C91" s="32" t="s">
        <v>401</v>
      </c>
      <c r="D91" s="31" t="s">
        <v>93</v>
      </c>
      <c r="E91" s="62">
        <v>86</v>
      </c>
      <c r="F91" s="32" t="str">
        <f>IF(D91="","",VLOOKUP(D91,Preços!B:C,2,FALSE))</f>
        <v>TE DE REDUCAO DE   1.1/2"X3/4"</v>
      </c>
      <c r="G91" s="20">
        <f t="shared" si="23"/>
        <v>68278.689180000001</v>
      </c>
      <c r="H91" s="20">
        <f t="shared" si="23"/>
        <v>47821.347000000002</v>
      </c>
      <c r="I91" s="20">
        <f>H91*BDI_SERVIÇOS_MATERIAIS!$E$11</f>
        <v>13941.276940034648</v>
      </c>
      <c r="J91" s="20">
        <f>BDI_SERVIÇOS_MATERIAIS!$E$11*G91</f>
        <v>19905.171532724227</v>
      </c>
      <c r="K91" s="20">
        <f t="shared" si="22"/>
        <v>39285.978979022824</v>
      </c>
      <c r="L91" s="33">
        <v>884.9</v>
      </c>
      <c r="M91" s="22">
        <v>3</v>
      </c>
      <c r="N91" s="22">
        <f t="shared" si="24"/>
        <v>36.87083333333333</v>
      </c>
      <c r="O91" s="22">
        <f t="shared" si="25"/>
        <v>1.9387999999999999</v>
      </c>
      <c r="P91" s="33">
        <f t="shared" si="27"/>
        <v>69.337884524999978</v>
      </c>
      <c r="Q91" s="33"/>
      <c r="R91" s="33"/>
      <c r="S91" s="33"/>
      <c r="T91" s="33"/>
      <c r="U91" s="33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0"/>
      <c r="BY91" s="29"/>
      <c r="BZ91" s="29"/>
      <c r="CA91" s="29"/>
      <c r="CB91" s="29"/>
      <c r="CC91" s="29"/>
      <c r="CD91" s="29"/>
      <c r="CE91" s="29"/>
      <c r="CF91" s="66"/>
      <c r="CG91" s="66"/>
      <c r="CH91" s="21">
        <f>K91</f>
        <v>39285.978979022824</v>
      </c>
      <c r="CI91" s="29"/>
      <c r="CJ91" s="29"/>
      <c r="CK91" s="29"/>
      <c r="CL91" s="29"/>
      <c r="CM91" s="19"/>
      <c r="CN91" s="19"/>
      <c r="CO91" s="29"/>
      <c r="CP91" s="29"/>
      <c r="CQ91" s="29"/>
      <c r="CR91" s="29"/>
      <c r="CS91" s="29"/>
      <c r="CT91" s="29"/>
      <c r="CU91" s="29"/>
      <c r="CV91" s="29"/>
      <c r="CW91" s="29"/>
      <c r="CX91" s="29"/>
    </row>
    <row r="92" spans="3:102" ht="28.8">
      <c r="C92" s="32" t="s">
        <v>401</v>
      </c>
      <c r="D92" s="31" t="s">
        <v>94</v>
      </c>
      <c r="E92" s="62">
        <v>87</v>
      </c>
      <c r="F92" s="32" t="str">
        <f>IF(D92="","",VLOOKUP(D92,Preços!B:C,2,FALSE))</f>
        <v>TE DE REDUCAO DE   2"X1"</v>
      </c>
      <c r="G92" s="20">
        <f t="shared" si="23"/>
        <v>51376.784939999998</v>
      </c>
      <c r="H92" s="20">
        <f t="shared" si="23"/>
        <v>25939.848480000001</v>
      </c>
      <c r="I92" s="20">
        <f>H92*BDI_SERVIÇOS_MATERIAIS!$E$11</f>
        <v>7562.2004424554752</v>
      </c>
      <c r="J92" s="20">
        <f>BDI_SERVIÇOS_MATERIAIS!$E$11*G92</f>
        <v>14977.787788728354</v>
      </c>
      <c r="K92" s="20">
        <f t="shared" si="22"/>
        <v>26162.434872610163</v>
      </c>
      <c r="L92" s="33">
        <v>480</v>
      </c>
      <c r="M92" s="22">
        <v>3</v>
      </c>
      <c r="N92" s="22">
        <f t="shared" si="24"/>
        <v>20</v>
      </c>
      <c r="O92" s="22">
        <f t="shared" si="25"/>
        <v>1.048</v>
      </c>
      <c r="P92" s="33">
        <f t="shared" si="27"/>
        <v>70.38588452499998</v>
      </c>
      <c r="Q92" s="33"/>
      <c r="R92" s="33"/>
      <c r="S92" s="33"/>
      <c r="T92" s="33"/>
      <c r="U92" s="33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0"/>
      <c r="CC92" s="29"/>
      <c r="CD92" s="29"/>
      <c r="CE92" s="29"/>
      <c r="CF92" s="29"/>
      <c r="CG92" s="29"/>
      <c r="CH92" s="66"/>
      <c r="CI92" s="21">
        <f>K92</f>
        <v>26162.434872610163</v>
      </c>
      <c r="CJ92" s="29"/>
      <c r="CK92" s="29"/>
      <c r="CL92" s="29"/>
      <c r="CM92" s="19"/>
      <c r="CN92" s="19"/>
      <c r="CO92" s="29"/>
      <c r="CP92" s="29"/>
      <c r="CQ92" s="29"/>
      <c r="CR92" s="29"/>
      <c r="CS92" s="29"/>
      <c r="CT92" s="29"/>
      <c r="CU92" s="29"/>
      <c r="CV92" s="29"/>
      <c r="CW92" s="29"/>
      <c r="CX92" s="29"/>
    </row>
    <row r="93" spans="3:102" ht="28.8">
      <c r="C93" s="32" t="s">
        <v>401</v>
      </c>
      <c r="D93" s="31" t="s">
        <v>95</v>
      </c>
      <c r="E93" s="62">
        <v>88</v>
      </c>
      <c r="F93" s="32" t="str">
        <f>IF(D93="","",VLOOKUP(D93,Preços!B:C,2,FALSE))</f>
        <v>TE DE REDUCAO   2.1/2"X1"</v>
      </c>
      <c r="G93" s="20">
        <f t="shared" si="23"/>
        <v>4448.9172600000002</v>
      </c>
      <c r="H93" s="20">
        <f t="shared" si="23"/>
        <v>1335.1662799999999</v>
      </c>
      <c r="I93" s="20">
        <f>H93*BDI_SERVIÇOS_MATERIAIS!$E$11</f>
        <v>389.23878222158487</v>
      </c>
      <c r="J93" s="20">
        <f>BDI_SERVIÇOS_MATERIAIS!$E$11*G93</f>
        <v>1296.9853736022978</v>
      </c>
      <c r="K93" s="20">
        <f t="shared" si="22"/>
        <v>1957.2206163058572</v>
      </c>
      <c r="L93" s="33">
        <v>24.7</v>
      </c>
      <c r="M93" s="22">
        <v>2</v>
      </c>
      <c r="N93" s="22">
        <f t="shared" si="24"/>
        <v>1.54375</v>
      </c>
      <c r="O93" s="22">
        <f t="shared" si="25"/>
        <v>0.1048</v>
      </c>
      <c r="P93" s="33">
        <f t="shared" si="27"/>
        <v>70.490684524999978</v>
      </c>
      <c r="Q93" s="33"/>
      <c r="R93" s="33"/>
      <c r="S93" s="33"/>
      <c r="T93" s="33"/>
      <c r="U93" s="33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0"/>
      <c r="CD93" s="29"/>
      <c r="CE93" s="29"/>
      <c r="CF93" s="29"/>
      <c r="CG93" s="29"/>
      <c r="CH93" s="29"/>
      <c r="CI93" s="21">
        <f>K93</f>
        <v>1957.2206163058572</v>
      </c>
      <c r="CJ93" s="29"/>
      <c r="CK93" s="29"/>
      <c r="CL93" s="29"/>
      <c r="CM93" s="19"/>
      <c r="CN93" s="19"/>
      <c r="CO93" s="29"/>
      <c r="CP93" s="29"/>
      <c r="CQ93" s="29"/>
      <c r="CR93" s="29"/>
      <c r="CS93" s="29"/>
      <c r="CT93" s="29"/>
      <c r="CU93" s="29"/>
      <c r="CV93" s="29"/>
      <c r="CW93" s="29"/>
      <c r="CX93" s="29"/>
    </row>
    <row r="94" spans="3:102" ht="28.8">
      <c r="C94" s="32" t="s">
        <v>401</v>
      </c>
      <c r="D94" s="31" t="s">
        <v>96</v>
      </c>
      <c r="E94" s="62">
        <v>89</v>
      </c>
      <c r="F94" s="32" t="str">
        <f>IF(D94="","",VLOOKUP(D94,Preços!B:C,2,FALSE))</f>
        <v>TE DE REDUCAO  DE 2.1/2" X 2"</v>
      </c>
      <c r="G94" s="20">
        <f t="shared" si="23"/>
        <v>19934.567099999997</v>
      </c>
      <c r="H94" s="20">
        <f t="shared" si="23"/>
        <v>5814.4337999999998</v>
      </c>
      <c r="I94" s="20">
        <f>H94*BDI_SERVIÇOS_MATERIAIS!$E$11</f>
        <v>1695.0721161262568</v>
      </c>
      <c r="J94" s="20">
        <f>BDI_SERVIÇOS_MATERIAIS!$E$11*G94</f>
        <v>5811.4908519996998</v>
      </c>
      <c r="K94" s="20">
        <f t="shared" si="22"/>
        <v>8712.9577334490004</v>
      </c>
      <c r="L94" s="33">
        <v>107.6</v>
      </c>
      <c r="M94" s="22">
        <v>3</v>
      </c>
      <c r="N94" s="22">
        <f t="shared" si="24"/>
        <v>4.4833333333333334</v>
      </c>
      <c r="O94" s="22">
        <f t="shared" si="25"/>
        <v>0.23580000000000001</v>
      </c>
      <c r="P94" s="33">
        <f t="shared" si="27"/>
        <v>70.726484524999975</v>
      </c>
      <c r="Q94" s="33"/>
      <c r="R94" s="33"/>
      <c r="S94" s="33"/>
      <c r="T94" s="33"/>
      <c r="U94" s="33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0"/>
      <c r="CE94" s="29"/>
      <c r="CF94" s="29"/>
      <c r="CG94" s="29"/>
      <c r="CH94" s="29"/>
      <c r="CI94" s="21">
        <f>K94</f>
        <v>8712.9577334490004</v>
      </c>
      <c r="CJ94" s="29"/>
      <c r="CK94" s="29"/>
      <c r="CL94" s="29"/>
      <c r="CM94" s="19"/>
      <c r="CN94" s="19"/>
      <c r="CO94" s="29"/>
      <c r="CP94" s="29"/>
      <c r="CQ94" s="29"/>
      <c r="CR94" s="29"/>
      <c r="CS94" s="29"/>
      <c r="CT94" s="29"/>
      <c r="CU94" s="29"/>
      <c r="CV94" s="29"/>
      <c r="CW94" s="29"/>
      <c r="CX94" s="29"/>
    </row>
    <row r="95" spans="3:102" ht="28.8">
      <c r="C95" s="32" t="s">
        <v>401</v>
      </c>
      <c r="D95" s="31" t="s">
        <v>97</v>
      </c>
      <c r="E95" s="62">
        <v>90</v>
      </c>
      <c r="F95" s="32" t="str">
        <f>IF(D95="","",VLOOKUP(D95,Preços!B:C,2,FALSE))</f>
        <v>TE DE REDUCAO  DE 4" X 2"</v>
      </c>
      <c r="G95" s="20">
        <f t="shared" si="23"/>
        <v>50638.049800000008</v>
      </c>
      <c r="H95" s="20">
        <f t="shared" si="23"/>
        <v>5599.0843999999997</v>
      </c>
      <c r="I95" s="20">
        <f>H95*BDI_SERVIÇOS_MATERIAIS!$E$11</f>
        <v>1632.2916673808397</v>
      </c>
      <c r="J95" s="20">
        <f>BDI_SERVIÇOS_MATERIAIS!$E$11*G95</f>
        <v>14762.425574609309</v>
      </c>
      <c r="K95" s="20">
        <f t="shared" si="22"/>
        <v>19029.545077801424</v>
      </c>
      <c r="L95" s="33">
        <v>103.6</v>
      </c>
      <c r="M95" s="22">
        <v>3</v>
      </c>
      <c r="N95" s="22">
        <f t="shared" si="24"/>
        <v>4.3166666666666664</v>
      </c>
      <c r="O95" s="22">
        <f t="shared" si="25"/>
        <v>0.23580000000000001</v>
      </c>
      <c r="P95" s="33">
        <f t="shared" si="27"/>
        <v>70.962284524999973</v>
      </c>
      <c r="Q95" s="33"/>
      <c r="R95" s="33"/>
      <c r="S95" s="33"/>
      <c r="T95" s="33"/>
      <c r="U95" s="33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D95" s="20"/>
      <c r="CF95" s="29"/>
      <c r="CG95" s="29"/>
      <c r="CH95" s="29"/>
      <c r="CI95" s="29"/>
      <c r="CJ95" s="21">
        <f>K95</f>
        <v>19029.545077801424</v>
      </c>
      <c r="CK95" s="29"/>
      <c r="CL95" s="29"/>
      <c r="CM95" s="19"/>
      <c r="CN95" s="19"/>
      <c r="CO95" s="29"/>
      <c r="CP95" s="29"/>
      <c r="CQ95" s="29"/>
      <c r="CR95" s="29"/>
      <c r="CS95" s="29"/>
      <c r="CT95" s="29"/>
      <c r="CU95" s="29"/>
      <c r="CV95" s="29"/>
      <c r="CW95" s="29"/>
      <c r="CX95" s="29"/>
    </row>
    <row r="96" spans="3:102" ht="28.8">
      <c r="C96" s="32" t="s">
        <v>401</v>
      </c>
      <c r="D96" s="31" t="s">
        <v>98</v>
      </c>
      <c r="E96" s="62">
        <v>91</v>
      </c>
      <c r="F96" s="32" t="str">
        <f>IF(D96="","",VLOOKUP(D96,Preços!B:C,2,FALSE))</f>
        <v>TE DE REDUCAO  DE 4" X 2.1/2"</v>
      </c>
      <c r="G96" s="20">
        <f t="shared" si="23"/>
        <v>11602.369999999999</v>
      </c>
      <c r="H96" s="20">
        <f t="shared" si="23"/>
        <v>1842.7640000000001</v>
      </c>
      <c r="I96" s="20">
        <f>H96*BDI_SERVIÇOS_MATERIAIS!$E$11</f>
        <v>537.21789265212476</v>
      </c>
      <c r="J96" s="20">
        <f>BDI_SERVIÇOS_MATERIAIS!$E$11*G96</f>
        <v>3382.4194314465831</v>
      </c>
      <c r="K96" s="20">
        <f t="shared" si="22"/>
        <v>4549.5700869138618</v>
      </c>
      <c r="L96" s="33">
        <v>34.1</v>
      </c>
      <c r="M96" s="22">
        <v>2</v>
      </c>
      <c r="N96" s="22">
        <f t="shared" si="24"/>
        <v>2.1312500000000001</v>
      </c>
      <c r="O96" s="22">
        <f t="shared" si="25"/>
        <v>0.13100000000000001</v>
      </c>
      <c r="P96" s="33">
        <f t="shared" si="27"/>
        <v>71.093284524999973</v>
      </c>
      <c r="Q96" s="33"/>
      <c r="R96" s="33"/>
      <c r="S96" s="33"/>
      <c r="T96" s="33"/>
      <c r="U96" s="33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0"/>
      <c r="CF96" s="29"/>
      <c r="CG96" s="29"/>
      <c r="CH96" s="29"/>
      <c r="CI96" s="29"/>
      <c r="CJ96" s="21">
        <f>K96</f>
        <v>4549.5700869138618</v>
      </c>
      <c r="CK96" s="29"/>
      <c r="CL96" s="29"/>
      <c r="CM96" s="19"/>
      <c r="CN96" s="19"/>
      <c r="CO96" s="29"/>
      <c r="CP96" s="29"/>
      <c r="CQ96" s="29"/>
      <c r="CR96" s="29"/>
      <c r="CS96" s="29"/>
      <c r="CT96" s="29"/>
      <c r="CU96" s="29"/>
      <c r="CV96" s="29"/>
      <c r="CW96" s="29"/>
      <c r="CX96" s="29"/>
    </row>
    <row r="97" spans="3:102" ht="72">
      <c r="C97" s="32" t="s">
        <v>401</v>
      </c>
      <c r="D97" s="31" t="s">
        <v>143</v>
      </c>
      <c r="E97" s="62">
        <v>92</v>
      </c>
      <c r="F97" s="32" t="str">
        <f>IF(D97="","",VLOOKUP(D97,Preços!B:C,2,FALSE))</f>
        <v>TÊ, EM FERRO GALVANIZADO, CONEXÃO ROSQUEADA, DN 25 (1"), INSTALADO EM REDE DE ALIMENTAÇÃO PARA SPRINKLER - FORNECIMENTO E INSTALAÇÃO. AF_10/2020</v>
      </c>
      <c r="G97" s="20">
        <f t="shared" si="23"/>
        <v>15956.8644</v>
      </c>
      <c r="H97" s="20">
        <f t="shared" si="23"/>
        <v>22539.759760000001</v>
      </c>
      <c r="I97" s="20">
        <f>H97*BDI_SERVIÇOS_MATERIAIS!$E$11</f>
        <v>6570.9782908459038</v>
      </c>
      <c r="J97" s="20">
        <f>BDI_SERVIÇOS_MATERIAIS!$E$11*G97</f>
        <v>4651.87786732523</v>
      </c>
      <c r="K97" s="20">
        <f t="shared" si="22"/>
        <v>13026.503843360837</v>
      </c>
      <c r="L97" s="33">
        <v>417.1</v>
      </c>
      <c r="M97" s="22">
        <v>3</v>
      </c>
      <c r="N97" s="22">
        <f t="shared" si="24"/>
        <v>17.379166666666666</v>
      </c>
      <c r="O97" s="22">
        <f t="shared" si="25"/>
        <v>0.91700000000000004</v>
      </c>
      <c r="P97" s="33">
        <f t="shared" si="27"/>
        <v>72.010284524999975</v>
      </c>
      <c r="Q97" s="33"/>
      <c r="R97" s="33"/>
      <c r="S97" s="33"/>
      <c r="T97" s="33"/>
      <c r="U97" s="33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0"/>
      <c r="CJ97" s="21">
        <f>K97</f>
        <v>13026.503843360837</v>
      </c>
      <c r="CK97" s="29"/>
      <c r="CL97" s="29"/>
      <c r="CM97" s="19"/>
      <c r="CN97" s="19"/>
      <c r="CO97" s="29"/>
      <c r="CP97" s="29"/>
      <c r="CQ97" s="29"/>
      <c r="CR97" s="29"/>
      <c r="CS97" s="29"/>
      <c r="CT97" s="29"/>
      <c r="CU97" s="29"/>
      <c r="CV97" s="29"/>
      <c r="CW97" s="29"/>
      <c r="CX97" s="29"/>
    </row>
    <row r="98" spans="3:102" ht="28.8">
      <c r="C98" s="32" t="s">
        <v>401</v>
      </c>
      <c r="D98" s="31" t="s">
        <v>144</v>
      </c>
      <c r="E98" s="62">
        <v>93</v>
      </c>
      <c r="F98" s="32" t="str">
        <f>IF(D98="","",VLOOKUP(D98,Preços!B:C,2,FALSE))</f>
        <v>TE DE ACO GALVANIZADO 4" - FORNECIMENTO E INSTALACAO</v>
      </c>
      <c r="G98" s="20">
        <f t="shared" si="23"/>
        <v>3260.8999999999996</v>
      </c>
      <c r="H98" s="20">
        <f t="shared" si="23"/>
        <v>569.57999999999993</v>
      </c>
      <c r="I98" s="20">
        <f>H98*BDI_SERVIÇOS_MATERIAIS!$E$11</f>
        <v>166.04870037443598</v>
      </c>
      <c r="J98" s="20">
        <f>BDI_SERVIÇOS_MATERIAIS!$E$11*G98</f>
        <v>950.64469793707349</v>
      </c>
      <c r="K98" s="20">
        <f t="shared" si="22"/>
        <v>1296.1594303576155</v>
      </c>
      <c r="L98" s="33">
        <v>11</v>
      </c>
      <c r="M98" s="22">
        <v>2</v>
      </c>
      <c r="N98" s="22">
        <f t="shared" si="24"/>
        <v>0.6875</v>
      </c>
      <c r="O98" s="22">
        <f t="shared" si="25"/>
        <v>5.2400000000000002E-2</v>
      </c>
      <c r="P98" s="33">
        <f t="shared" si="27"/>
        <v>72.06268452499998</v>
      </c>
      <c r="Q98" s="33"/>
      <c r="R98" s="33"/>
      <c r="S98" s="33"/>
      <c r="T98" s="33"/>
      <c r="U98" s="33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0"/>
      <c r="CJ98" s="29"/>
      <c r="CK98" s="21">
        <f>K98</f>
        <v>1296.1594303576155</v>
      </c>
      <c r="CL98" s="29"/>
      <c r="CM98" s="19"/>
      <c r="CN98" s="19"/>
      <c r="CO98" s="29"/>
      <c r="CP98" s="29"/>
      <c r="CQ98" s="29"/>
      <c r="CR98" s="29"/>
      <c r="CS98" s="29"/>
      <c r="CT98" s="29"/>
      <c r="CU98" s="29"/>
      <c r="CV98" s="29"/>
      <c r="CW98" s="29"/>
      <c r="CX98" s="29"/>
    </row>
    <row r="99" spans="3:102" ht="43.2">
      <c r="C99" s="32" t="s">
        <v>401</v>
      </c>
      <c r="D99" s="31" t="s">
        <v>145</v>
      </c>
      <c r="E99" s="62">
        <v>94</v>
      </c>
      <c r="F99" s="32" t="str">
        <f>IF(D99="","",VLOOKUP(D99,Preços!B:C,2,FALSE))</f>
        <v>BUCHA DE REDUCAO DE FERRO GALVANIZADO, COM ROSCA BSP, DE 1" X 3/4"</v>
      </c>
      <c r="G99" s="20">
        <f t="shared" si="23"/>
        <v>2594.7019</v>
      </c>
      <c r="H99" s="20">
        <f t="shared" si="23"/>
        <v>3985.1797999999999</v>
      </c>
      <c r="I99" s="20">
        <f>H99*BDI_SERVIÇOS_MATERIAIS!$E$11</f>
        <v>1161.792771074221</v>
      </c>
      <c r="J99" s="20">
        <f>BDI_SERVIÇOS_MATERIAIS!$E$11*G99</f>
        <v>756.42908521029494</v>
      </c>
      <c r="K99" s="20">
        <f t="shared" si="22"/>
        <v>2226.5031317465432</v>
      </c>
      <c r="L99" s="33">
        <v>73.7</v>
      </c>
      <c r="M99" s="22">
        <v>2</v>
      </c>
      <c r="N99" s="22">
        <f t="shared" si="24"/>
        <v>4.6062500000000002</v>
      </c>
      <c r="O99" s="22">
        <f t="shared" si="25"/>
        <v>0.26200000000000001</v>
      </c>
      <c r="P99" s="33">
        <f t="shared" si="27"/>
        <v>72.324684524999981</v>
      </c>
      <c r="Q99" s="33"/>
      <c r="R99" s="33"/>
      <c r="S99" s="33"/>
      <c r="T99" s="33"/>
      <c r="U99" s="33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0"/>
      <c r="CK99" s="21">
        <f>K99</f>
        <v>2226.5031317465432</v>
      </c>
      <c r="CL99" s="20"/>
      <c r="CM99" s="19"/>
      <c r="CN99" s="19"/>
      <c r="CO99" s="20"/>
      <c r="CP99" s="20"/>
      <c r="CQ99" s="20"/>
      <c r="CR99" s="20"/>
      <c r="CS99" s="20"/>
      <c r="CT99" s="20"/>
      <c r="CU99" s="20"/>
      <c r="CV99" s="20"/>
      <c r="CW99" s="29"/>
      <c r="CX99" s="29"/>
    </row>
    <row r="100" spans="3:102" ht="28.8">
      <c r="C100" s="32" t="s">
        <v>401</v>
      </c>
      <c r="D100" s="31" t="s">
        <v>146</v>
      </c>
      <c r="E100" s="62">
        <v>95</v>
      </c>
      <c r="F100" s="32" t="str">
        <f>IF(D100="","",VLOOKUP(D100,Preços!B:C,2,FALSE))</f>
        <v>VALVULA ESFERA AÇO GALVANIZADO   1.1/4" - FORCECIMENTO E INSTALAÇÃO</v>
      </c>
      <c r="G100" s="20">
        <f t="shared" si="23"/>
        <v>422.18824000000001</v>
      </c>
      <c r="H100" s="20">
        <f t="shared" si="23"/>
        <v>170.55024</v>
      </c>
      <c r="I100" s="20">
        <f>H100*BDI_SERVIÇOS_MATERIAIS!$E$11</f>
        <v>49.720224903522158</v>
      </c>
      <c r="J100" s="20">
        <f>BDI_SERVIÇOS_MATERIAIS!$E$11*G100</f>
        <v>123.07982823373447</v>
      </c>
      <c r="K100" s="20">
        <f t="shared" si="22"/>
        <v>200.57109568196125</v>
      </c>
      <c r="L100" s="33">
        <v>3</v>
      </c>
      <c r="M100" s="22">
        <v>2</v>
      </c>
      <c r="N100" s="22">
        <f t="shared" si="24"/>
        <v>0.1875</v>
      </c>
      <c r="O100" s="22">
        <f t="shared" si="25"/>
        <v>2.6200000000000001E-2</v>
      </c>
      <c r="P100" s="33">
        <f t="shared" si="27"/>
        <v>72.350884524999984</v>
      </c>
      <c r="Q100" s="33"/>
      <c r="R100" s="33"/>
      <c r="S100" s="33"/>
      <c r="T100" s="33"/>
      <c r="U100" s="33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0"/>
      <c r="CK100" s="21">
        <f>K100</f>
        <v>200.57109568196125</v>
      </c>
      <c r="CL100" s="20"/>
      <c r="CM100" s="19"/>
      <c r="CN100" s="19"/>
      <c r="CO100" s="20"/>
      <c r="CP100" s="20"/>
      <c r="CQ100" s="20"/>
      <c r="CR100" s="20"/>
      <c r="CS100" s="20"/>
      <c r="CT100" s="20"/>
      <c r="CU100" s="20"/>
      <c r="CV100" s="20"/>
      <c r="CW100" s="29"/>
      <c r="CX100" s="29"/>
    </row>
    <row r="101" spans="3:102" ht="28.8">
      <c r="C101" s="32" t="s">
        <v>401</v>
      </c>
      <c r="D101" s="31" t="s">
        <v>147</v>
      </c>
      <c r="E101" s="62">
        <v>96</v>
      </c>
      <c r="F101" s="32" t="str">
        <f>IF(D101="","",VLOOKUP(D101,Preços!B:C,2,FALSE))</f>
        <v>REGISTRO DE  RECALQUE DUPLO</v>
      </c>
      <c r="G101" s="20">
        <f t="shared" si="23"/>
        <v>1614.27</v>
      </c>
      <c r="H101" s="20">
        <f t="shared" si="23"/>
        <v>103.56</v>
      </c>
      <c r="I101" s="20">
        <f>H101*BDI_SERVIÇOS_MATERIAIS!$E$11</f>
        <v>30.190672795352</v>
      </c>
      <c r="J101" s="20">
        <f>BDI_SERVIÇOS_MATERIAIS!$E$11*G101</f>
        <v>470.60542075466276</v>
      </c>
      <c r="K101" s="20">
        <f t="shared" si="22"/>
        <v>581.28003651010386</v>
      </c>
      <c r="L101" s="33">
        <v>4</v>
      </c>
      <c r="M101" s="22">
        <v>2</v>
      </c>
      <c r="N101" s="22">
        <f t="shared" si="24"/>
        <v>0.25</v>
      </c>
      <c r="O101" s="22">
        <f t="shared" si="25"/>
        <v>2.6200000000000001E-2</v>
      </c>
      <c r="P101" s="33">
        <f t="shared" si="27"/>
        <v>72.377084524999987</v>
      </c>
      <c r="Q101" s="33"/>
      <c r="R101" s="33"/>
      <c r="S101" s="33"/>
      <c r="T101" s="33"/>
      <c r="U101" s="33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0"/>
      <c r="CK101" s="21">
        <f>K101</f>
        <v>581.28003651010386</v>
      </c>
      <c r="CL101" s="20"/>
      <c r="CM101" s="19"/>
      <c r="CN101" s="19"/>
      <c r="CO101" s="20"/>
      <c r="CP101" s="20"/>
      <c r="CQ101" s="20"/>
      <c r="CR101" s="20"/>
      <c r="CS101" s="20"/>
      <c r="CT101" s="20"/>
      <c r="CU101" s="20"/>
      <c r="CV101" s="20"/>
      <c r="CW101" s="29"/>
      <c r="CX101" s="29"/>
    </row>
    <row r="102" spans="3:102" ht="28.8">
      <c r="C102" s="32" t="s">
        <v>401</v>
      </c>
      <c r="D102" s="31" t="s">
        <v>63</v>
      </c>
      <c r="E102" s="62">
        <v>97</v>
      </c>
      <c r="F102" s="32" t="str">
        <f>IF(D102="","",VLOOKUP(D102,Preços!B:C,2,FALSE))</f>
        <v xml:space="preserve">SPK PENDENTE K11 ( K160) RESPOSTA PADRÃO - COBERTURA </v>
      </c>
      <c r="G102" s="20">
        <f t="shared" si="23"/>
        <v>66811.997399999993</v>
      </c>
      <c r="H102" s="20">
        <f t="shared" si="23"/>
        <v>5050.0380000000005</v>
      </c>
      <c r="I102" s="20">
        <f>H102*BDI_SERVIÇOS_MATERIAIS!$E$11</f>
        <v>1472.2290929132275</v>
      </c>
      <c r="J102" s="20">
        <f>BDI_SERVIÇOS_MATERIAIS!$E$11*G102</f>
        <v>19477.589342480769</v>
      </c>
      <c r="K102" s="20">
        <f t="shared" si="22"/>
        <v>24316.705704873228</v>
      </c>
      <c r="L102" s="33">
        <v>133.5</v>
      </c>
      <c r="M102" s="22">
        <v>3</v>
      </c>
      <c r="N102" s="22">
        <f t="shared" si="24"/>
        <v>5.5625</v>
      </c>
      <c r="O102" s="22">
        <f t="shared" si="25"/>
        <v>0.31440000000000007</v>
      </c>
      <c r="P102" s="33">
        <f>P101+O102</f>
        <v>72.691484524999993</v>
      </c>
      <c r="Q102" s="33"/>
      <c r="R102" s="33"/>
      <c r="S102" s="33"/>
      <c r="T102" s="33"/>
      <c r="U102" s="33"/>
      <c r="V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1">
        <f>K102</f>
        <v>24316.705704873228</v>
      </c>
      <c r="CL102" s="29"/>
      <c r="CM102" s="19"/>
      <c r="CN102" s="1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</row>
    <row r="103" spans="3:102" ht="28.8">
      <c r="C103" s="32" t="s">
        <v>401</v>
      </c>
      <c r="D103" s="31" t="s">
        <v>64</v>
      </c>
      <c r="E103" s="62">
        <v>98</v>
      </c>
      <c r="F103" s="32" t="str">
        <f>IF(D103="","",VLOOKUP(D103,Preços!B:C,2,FALSE))</f>
        <v xml:space="preserve">SPK PENDENTE K8 ( K115) RESPOSTA RÁPIDA - INTERMEDIÁRIO </v>
      </c>
      <c r="G103" s="20">
        <f t="shared" si="23"/>
        <v>125368.16472</v>
      </c>
      <c r="H103" s="20">
        <f t="shared" si="23"/>
        <v>9600.7464</v>
      </c>
      <c r="I103" s="20">
        <f>H103*BDI_SERVIÇOS_MATERIAIS!$E$11</f>
        <v>2798.8894665271696</v>
      </c>
      <c r="J103" s="20">
        <f>BDI_SERVIÇOS_MATERIAIS!$E$11*G103</f>
        <v>36548.370413434845</v>
      </c>
      <c r="K103" s="20">
        <f t="shared" si="22"/>
        <v>45670.836801990052</v>
      </c>
      <c r="L103" s="33">
        <v>253.8</v>
      </c>
      <c r="M103" s="22">
        <v>3</v>
      </c>
      <c r="N103" s="22">
        <f t="shared" si="24"/>
        <v>10.575000000000001</v>
      </c>
      <c r="O103" s="22">
        <f t="shared" si="25"/>
        <v>0.57640000000000002</v>
      </c>
      <c r="P103" s="33">
        <f t="shared" ref="P103" si="28">O103+P102</f>
        <v>73.267884524999999</v>
      </c>
      <c r="Q103" s="33"/>
      <c r="R103" s="33"/>
      <c r="S103" s="33"/>
      <c r="T103" s="33"/>
      <c r="U103" s="33"/>
      <c r="V103" s="29"/>
      <c r="W103" s="29"/>
      <c r="X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1">
        <f>K103</f>
        <v>45670.836801990052</v>
      </c>
      <c r="CM103" s="19"/>
      <c r="CN103" s="1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</row>
    <row r="104" spans="3:102" ht="86.4">
      <c r="C104" s="32" t="s">
        <v>402</v>
      </c>
      <c r="D104" s="31" t="s">
        <v>65</v>
      </c>
      <c r="E104" s="62">
        <v>99</v>
      </c>
      <c r="F104" s="32" t="str">
        <f>IF(D104="","",VLOOKUP(D104,Preços!B:C,2,FALSE))</f>
        <v>TUBO DE AÇO GALVANIZADO COM COSTURA, CLASSE MÉDIA, CONEXÃO ROSQUEADA, DN 25 (1"), INSTALADO EM REDE DE ALIMENTAÇÃO PARA SPRINKLER - FORNECIMENTO E INSTALAÇÃO. AF_10/2020</v>
      </c>
      <c r="G104" s="20">
        <f>G17</f>
        <v>71310.436118999991</v>
      </c>
      <c r="H104" s="20">
        <f>H17</f>
        <v>20877.489360000003</v>
      </c>
      <c r="I104" s="20">
        <f>H104*BDI_SERVIÇOS_MATERIAIS!$E$11</f>
        <v>6086.3793941309668</v>
      </c>
      <c r="J104" s="20">
        <f>BDI_SERVIÇOS_MATERIAIS!$E$11*G104</f>
        <v>20789.011623817882</v>
      </c>
      <c r="K104" s="20">
        <f t="shared" ref="K104:K132" si="29">(G104+H104+I104+J104)*10.6%</f>
        <v>12620.711548676578</v>
      </c>
      <c r="L104" s="33">
        <v>386.3</v>
      </c>
      <c r="M104" s="22">
        <v>2</v>
      </c>
      <c r="N104" s="22">
        <f t="shared" ref="N104:N105" si="30">ROUNDUP((L104/M104)/$D$2,0)</f>
        <v>25</v>
      </c>
      <c r="O104" s="22">
        <f>(ROUNDUP(N104/5,1))*10.6%</f>
        <v>0.53</v>
      </c>
      <c r="P104" s="33">
        <f>P103+O104</f>
        <v>73.797884525000001</v>
      </c>
      <c r="Q104" s="33"/>
      <c r="R104" s="33"/>
      <c r="S104" s="33"/>
      <c r="T104" s="33"/>
      <c r="U104" s="33"/>
      <c r="V104" s="29"/>
      <c r="W104" s="29"/>
      <c r="X104" s="29"/>
      <c r="Y104" s="20"/>
      <c r="Z104" s="29"/>
      <c r="AA104" s="29"/>
      <c r="AB104" s="29"/>
      <c r="AC104" s="29"/>
      <c r="AD104" s="20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75">
        <f>K104</f>
        <v>12620.711548676578</v>
      </c>
      <c r="CM104" s="19"/>
      <c r="CN104" s="1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</row>
    <row r="105" spans="3:102" ht="86.4">
      <c r="C105" s="32" t="s">
        <v>402</v>
      </c>
      <c r="D105" s="31" t="s">
        <v>66</v>
      </c>
      <c r="E105" s="62">
        <v>100</v>
      </c>
      <c r="F105" s="32" t="str">
        <f>IF(D105="","",VLOOKUP(D105,Preços!B:C,2,FALSE))</f>
        <v>TUBO DE AÇO GALVANIZADO COM COSTURA, CLASSE MÉDIA, CONEXÃO ROSQUEADA, DN 32 (1 1/4"), INSTALADO EM  REDE DE ALIMENTAÇÃO PARA SPRINKLER - FORNECIMENTO E INSTALAÇÃO. AF_10/2020</v>
      </c>
      <c r="G105" s="20">
        <f t="shared" ref="G105:H132" si="31">G18</f>
        <v>3147.1309999999999</v>
      </c>
      <c r="H105" s="20">
        <f t="shared" si="31"/>
        <v>820.54335999999989</v>
      </c>
      <c r="I105" s="20">
        <f>H105*BDI_SERVIÇOS_MATERIAIS!$E$11</f>
        <v>239.21162703899884</v>
      </c>
      <c r="J105" s="20">
        <f>BDI_SERVIÇOS_MATERIAIS!$E$11*G105</f>
        <v>917.47781252519246</v>
      </c>
      <c r="K105" s="20">
        <f t="shared" si="29"/>
        <v>543.18256275380429</v>
      </c>
      <c r="L105" s="33">
        <v>15.2</v>
      </c>
      <c r="M105" s="22">
        <v>2</v>
      </c>
      <c r="N105" s="22">
        <f t="shared" si="30"/>
        <v>1</v>
      </c>
      <c r="O105" s="22">
        <f t="shared" ref="O105:O132" si="32">ROUNDUP(N105/5,1)*10.6%</f>
        <v>2.12E-2</v>
      </c>
      <c r="P105" s="33">
        <f t="shared" ref="P105:P116" si="33">O105+P104</f>
        <v>73.819084524999994</v>
      </c>
      <c r="Q105" s="33"/>
      <c r="R105" s="33"/>
      <c r="S105" s="33"/>
      <c r="T105" s="33"/>
      <c r="U105" s="33"/>
      <c r="V105" s="29"/>
      <c r="W105" s="29"/>
      <c r="X105" s="29"/>
      <c r="Y105" s="29"/>
      <c r="Z105" s="29"/>
      <c r="AA105" s="29"/>
      <c r="AB105" s="29"/>
      <c r="AC105" s="29"/>
      <c r="AD105" s="20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75">
        <f t="shared" ref="CL105" si="34">K105</f>
        <v>543.18256275380429</v>
      </c>
      <c r="CM105" s="19"/>
      <c r="CN105" s="1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</row>
    <row r="106" spans="3:102" ht="86.4">
      <c r="C106" s="32" t="s">
        <v>402</v>
      </c>
      <c r="D106" s="31" t="s">
        <v>67</v>
      </c>
      <c r="E106" s="62">
        <v>101</v>
      </c>
      <c r="F106" s="32" t="str">
        <f>IF(D106="","",VLOOKUP(D106,Preços!B:C,2,FALSE))</f>
        <v>TUBO DE AÇO GALVANIZADO COM COSTURA, CLASSE MÉDIA, CONEXÃO ROSQUEADA, DN 40 (1 1/2"), INSTALADO EM REDE DE ALIMENTAÇÃO PARA SPRINKLER - FORNECIMENTO E INSTALAÇÃO. AF_10/2020</v>
      </c>
      <c r="G106" s="20">
        <f t="shared" si="31"/>
        <v>261933.10523999998</v>
      </c>
      <c r="H106" s="20">
        <f t="shared" si="31"/>
        <v>58795.087679999997</v>
      </c>
      <c r="I106" s="20">
        <f>H106*BDI_SERVIÇOS_MATERIAIS!$E$11</f>
        <v>17140.433122063649</v>
      </c>
      <c r="J106" s="20">
        <f>BDI_SERVIÇOS_MATERIAIS!$E$11*G106</f>
        <v>76360.918062681929</v>
      </c>
      <c r="K106" s="20">
        <f t="shared" si="29"/>
        <v>43908.331675103022</v>
      </c>
      <c r="L106" s="33">
        <v>1088</v>
      </c>
      <c r="M106" s="22">
        <v>3</v>
      </c>
      <c r="N106" s="22">
        <f>ROUNDUP((L106/M106)/$D$2,0)</f>
        <v>46</v>
      </c>
      <c r="O106" s="22">
        <f t="shared" si="32"/>
        <v>0.97519999999999984</v>
      </c>
      <c r="P106" s="33">
        <f>O106+P105</f>
        <v>74.794284524999995</v>
      </c>
      <c r="Q106" s="33"/>
      <c r="R106" s="33"/>
      <c r="S106" s="33"/>
      <c r="T106" s="33"/>
      <c r="U106" s="33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0"/>
      <c r="AH106" s="29"/>
      <c r="AI106" s="29"/>
      <c r="AJ106" s="29"/>
      <c r="AK106" s="29"/>
      <c r="AL106" s="29"/>
      <c r="AM106" s="20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73"/>
      <c r="CM106" s="71">
        <f>K106</f>
        <v>43908.331675103022</v>
      </c>
      <c r="CN106" s="1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</row>
    <row r="107" spans="3:102" ht="86.4">
      <c r="C107" s="32" t="s">
        <v>402</v>
      </c>
      <c r="D107" s="31" t="s">
        <v>68</v>
      </c>
      <c r="E107" s="62">
        <v>102</v>
      </c>
      <c r="F107" s="32" t="str">
        <f>IF(D107="","",VLOOKUP(D107,Preços!B:C,2,FALSE))</f>
        <v>TUBO DE AÇO GALVANIZADO COM COSTURA, CLASSE MÉDIA, CONEXÃO ROSQUEADA, DN 50 (2"), INSTALADO EM REDE DE ALIMENTAÇÃO PARA SPRINKLER - FORNECIMENTO E INSTALAÇÃO. AF_10/2020</v>
      </c>
      <c r="G107" s="20">
        <f t="shared" si="31"/>
        <v>316069.67034999997</v>
      </c>
      <c r="H107" s="20">
        <f t="shared" si="31"/>
        <v>52731.016100000001</v>
      </c>
      <c r="I107" s="20">
        <f>H107*BDI_SERVIÇOS_MATERIAIS!$E$11</f>
        <v>15372.584523382951</v>
      </c>
      <c r="J107" s="20">
        <f>BDI_SERVIÇOS_MATERIAIS!$E$11*G107</f>
        <v>92143.259927304156</v>
      </c>
      <c r="K107" s="20">
        <f t="shared" si="29"/>
        <v>50489.55227547283</v>
      </c>
      <c r="L107" s="33">
        <v>975.8</v>
      </c>
      <c r="M107" s="22">
        <v>3</v>
      </c>
      <c r="N107" s="22">
        <f t="shared" ref="N107:N135" si="35">ROUNDUP((L107/M107)/$D$2,0)</f>
        <v>41</v>
      </c>
      <c r="O107" s="22">
        <f t="shared" si="32"/>
        <v>0.86919999999999986</v>
      </c>
      <c r="P107" s="33">
        <f t="shared" si="33"/>
        <v>75.663484525000001</v>
      </c>
      <c r="Q107" s="33"/>
      <c r="R107" s="33"/>
      <c r="S107" s="33"/>
      <c r="T107" s="33"/>
      <c r="U107" s="33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0"/>
      <c r="AN107" s="29"/>
      <c r="AO107" s="29"/>
      <c r="AP107" s="29"/>
      <c r="AQ107" s="29"/>
      <c r="AR107" s="29"/>
      <c r="AS107" s="29"/>
      <c r="AT107" s="29"/>
      <c r="AU107" s="20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66"/>
      <c r="CN107" s="21">
        <f>K107</f>
        <v>50489.55227547283</v>
      </c>
      <c r="CO107" s="20"/>
      <c r="CP107" s="20"/>
      <c r="CQ107" s="20"/>
      <c r="CR107" s="20"/>
      <c r="CS107" s="20"/>
      <c r="CT107" s="20"/>
      <c r="CU107" s="20"/>
      <c r="CV107" s="20"/>
      <c r="CW107" s="29"/>
      <c r="CX107" s="29"/>
    </row>
    <row r="108" spans="3:102" ht="86.4">
      <c r="C108" s="32" t="s">
        <v>402</v>
      </c>
      <c r="D108" s="31" t="s">
        <v>69</v>
      </c>
      <c r="E108" s="62">
        <v>103</v>
      </c>
      <c r="F108" s="32" t="str">
        <f>IF(D108="","",VLOOKUP(D108,Preços!B:C,2,FALSE))</f>
        <v>TUBO DE AÇO GALVANIZADO COM COSTURA, CLASSE MÉDIA, CONEXÃO ROSQUEADA, DN 65 (2 1/2"), INSTALADO EM REDE DE ALIMENTAÇÃO PARA SPRINKLER - FORNECIMENTO E INSTALAÇÃO. AF_10/2020</v>
      </c>
      <c r="G108" s="20">
        <f t="shared" si="31"/>
        <v>62686.083107499995</v>
      </c>
      <c r="H108" s="20">
        <f t="shared" si="31"/>
        <v>9289.2733499999995</v>
      </c>
      <c r="I108" s="20">
        <f>H108*BDI_SERVIÇOS_MATERIAIS!$E$11</f>
        <v>2708.0862516071197</v>
      </c>
      <c r="J108" s="20">
        <f>BDI_SERVIÇOS_MATERIAIS!$E$11*G108</f>
        <v>18274.768481274379</v>
      </c>
      <c r="K108" s="20">
        <f t="shared" si="29"/>
        <v>9853.5703861804377</v>
      </c>
      <c r="L108" s="33">
        <v>171.9</v>
      </c>
      <c r="M108" s="22">
        <v>3</v>
      </c>
      <c r="N108" s="22">
        <f t="shared" si="35"/>
        <v>8</v>
      </c>
      <c r="O108" s="22">
        <f t="shared" si="32"/>
        <v>0.1696</v>
      </c>
      <c r="P108" s="33">
        <f t="shared" si="33"/>
        <v>75.833084525000004</v>
      </c>
      <c r="Q108" s="33"/>
      <c r="R108" s="33"/>
      <c r="S108" s="33"/>
      <c r="T108" s="33"/>
      <c r="U108" s="33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0"/>
      <c r="AV108" s="29"/>
      <c r="AW108" s="20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1">
        <f>K108</f>
        <v>9853.5703861804377</v>
      </c>
      <c r="CO108" s="20"/>
      <c r="CP108" s="20"/>
      <c r="CQ108" s="20"/>
      <c r="CR108" s="20"/>
      <c r="CS108" s="20"/>
      <c r="CT108" s="20"/>
      <c r="CU108" s="20"/>
      <c r="CV108" s="20"/>
      <c r="CW108" s="29"/>
      <c r="CX108" s="29"/>
    </row>
    <row r="109" spans="3:102" ht="43.2">
      <c r="C109" s="32" t="s">
        <v>402</v>
      </c>
      <c r="D109" s="31" t="s">
        <v>70</v>
      </c>
      <c r="E109" s="62">
        <v>104</v>
      </c>
      <c r="F109" s="32" t="str">
        <f>IF(D109="","",VLOOKUP(D109,Preços!B:C,2,FALSE))</f>
        <v xml:space="preserve">TUBO AÇO GALVANIZADO  COM COSTURA, NBR 5580, CLASSE L, DN = 100MM </v>
      </c>
      <c r="G109" s="20">
        <f t="shared" si="31"/>
        <v>114044.61105799999</v>
      </c>
      <c r="H109" s="20">
        <f t="shared" si="31"/>
        <v>11893.933800000003</v>
      </c>
      <c r="I109" s="20">
        <f>H109*BDI_SERVIÇOS_MATERIAIS!$E$11</f>
        <v>3467.4185361662585</v>
      </c>
      <c r="J109" s="20">
        <f>BDI_SERVIÇOS_MATERIAIS!$E$11*G109</f>
        <v>33247.233840529749</v>
      </c>
      <c r="K109" s="20">
        <f t="shared" si="29"/>
        <v>17241.238906877777</v>
      </c>
      <c r="L109" s="33">
        <v>14.4</v>
      </c>
      <c r="M109" s="22">
        <v>2</v>
      </c>
      <c r="N109" s="22">
        <f t="shared" si="35"/>
        <v>1</v>
      </c>
      <c r="O109" s="22">
        <f t="shared" si="32"/>
        <v>2.12E-2</v>
      </c>
      <c r="P109" s="33">
        <f t="shared" si="33"/>
        <v>75.854284524999997</v>
      </c>
      <c r="Q109" s="33"/>
      <c r="R109" s="33"/>
      <c r="S109" s="33"/>
      <c r="T109" s="33"/>
      <c r="U109" s="33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0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1">
        <f>K109</f>
        <v>17241.238906877777</v>
      </c>
      <c r="CO109" s="20"/>
      <c r="CP109" s="20"/>
      <c r="CQ109" s="20"/>
      <c r="CR109" s="20"/>
      <c r="CS109" s="20"/>
      <c r="CT109" s="20"/>
      <c r="CU109" s="20"/>
      <c r="CV109" s="20"/>
      <c r="CW109" s="29"/>
      <c r="CX109" s="29"/>
    </row>
    <row r="110" spans="3:102" ht="43.2">
      <c r="C110" s="32" t="s">
        <v>402</v>
      </c>
      <c r="D110" s="31" t="s">
        <v>71</v>
      </c>
      <c r="E110" s="62">
        <v>105</v>
      </c>
      <c r="F110" s="32" t="str">
        <f>IF(D110="","",VLOOKUP(D110,Preços!B:C,2,FALSE))</f>
        <v xml:space="preserve">TUBO AÇO GALVANIZADO  COM COSTURA, NBR 5580, CLASSE L, DN = 150MM </v>
      </c>
      <c r="G110" s="20">
        <f t="shared" si="31"/>
        <v>41986.874188999995</v>
      </c>
      <c r="H110" s="20">
        <f t="shared" si="31"/>
        <v>5094.0805999999993</v>
      </c>
      <c r="I110" s="20">
        <f>H110*BDI_SERVIÇOS_MATERIAIS!$E$11</f>
        <v>1485.0687580895169</v>
      </c>
      <c r="J110" s="20">
        <f>BDI_SERVIÇOS_MATERIAIS!$E$11*G110</f>
        <v>12240.362884701712</v>
      </c>
      <c r="K110" s="20">
        <f t="shared" si="29"/>
        <v>6445.4769617698694</v>
      </c>
      <c r="L110" s="33">
        <v>1.04</v>
      </c>
      <c r="M110" s="22">
        <v>2</v>
      </c>
      <c r="N110" s="22">
        <f t="shared" si="35"/>
        <v>1</v>
      </c>
      <c r="O110" s="22">
        <f t="shared" si="32"/>
        <v>2.12E-2</v>
      </c>
      <c r="P110" s="33">
        <f t="shared" si="33"/>
        <v>75.87548452499999</v>
      </c>
      <c r="Q110" s="33"/>
      <c r="R110" s="33"/>
      <c r="S110" s="33"/>
      <c r="T110" s="33"/>
      <c r="U110" s="33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0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1">
        <f>K110</f>
        <v>6445.4769617698694</v>
      </c>
      <c r="CO110" s="20"/>
      <c r="CP110" s="20"/>
      <c r="CQ110" s="20"/>
      <c r="CR110" s="20"/>
      <c r="CS110" s="20"/>
      <c r="CT110" s="20"/>
      <c r="CU110" s="20"/>
      <c r="CV110" s="20"/>
      <c r="CW110" s="29"/>
      <c r="CX110" s="29"/>
    </row>
    <row r="111" spans="3:102" ht="86.4">
      <c r="C111" s="32" t="s">
        <v>402</v>
      </c>
      <c r="D111" s="31" t="s">
        <v>84</v>
      </c>
      <c r="E111" s="62">
        <v>106</v>
      </c>
      <c r="F111" s="32" t="str">
        <f>IF(D111="","",VLOOKUP(D111,Preços!B:C,2,FALSE))</f>
        <v>JOELHO 90 GRAUS, EM FERRO GALVANIZADO, CONEXÃO ROSQUEADA, DN 25 (1"), INSTALADO EM REDE DE ALIMENTAÇÃO PARA SPRINKLER - FORNECIMENTO E INSTALAÇÃO. AF_12/2015</v>
      </c>
      <c r="G111" s="20">
        <f t="shared" si="31"/>
        <v>14861.2714</v>
      </c>
      <c r="H111" s="20">
        <f t="shared" si="31"/>
        <v>21886.091919999999</v>
      </c>
      <c r="I111" s="20">
        <f>H111*BDI_SERVIÇOS_MATERIAIS!$E$11</f>
        <v>6380.4156037632019</v>
      </c>
      <c r="J111" s="20">
        <f>BDI_SERVIÇOS_MATERIAIS!$E$11*G111</f>
        <v>4332.4814808837655</v>
      </c>
      <c r="K111" s="20">
        <f t="shared" si="29"/>
        <v>5030.7876028925784</v>
      </c>
      <c r="L111" s="33">
        <v>404.99799999999999</v>
      </c>
      <c r="M111" s="22">
        <v>3</v>
      </c>
      <c r="N111" s="22">
        <f t="shared" si="35"/>
        <v>17</v>
      </c>
      <c r="O111" s="22">
        <f t="shared" si="32"/>
        <v>0.3604</v>
      </c>
      <c r="P111" s="33">
        <f t="shared" si="33"/>
        <v>76.235884524999989</v>
      </c>
      <c r="Q111" s="33"/>
      <c r="R111" s="33"/>
      <c r="S111" s="33"/>
      <c r="T111" s="33"/>
      <c r="U111" s="33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0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1">
        <f>K111</f>
        <v>5030.7876028925784</v>
      </c>
      <c r="CP111" s="29"/>
      <c r="CQ111" s="29"/>
      <c r="CR111" s="29"/>
      <c r="CS111" s="29"/>
      <c r="CT111" s="29"/>
      <c r="CU111" s="29"/>
      <c r="CV111" s="29"/>
      <c r="CW111" s="29"/>
      <c r="CX111" s="29"/>
    </row>
    <row r="112" spans="3:102" ht="86.4">
      <c r="C112" s="32" t="s">
        <v>402</v>
      </c>
      <c r="D112" s="31" t="s">
        <v>85</v>
      </c>
      <c r="E112" s="62">
        <v>107</v>
      </c>
      <c r="F112" s="32" t="str">
        <f>IF(D112="","",VLOOKUP(D112,Preços!B:C,2,FALSE))</f>
        <v>JOELHO 90 GRAUS, EM FERRO GALVANIZADO, CONEXÃO ROSQUEADA, DN 32 (1 1/4"), INSTALADO EM REDE DE ALIMENTAÇÃO PARA SPRINKLER - FORNECIMENTO E INSTALAÇÃO. AF_10/2020</v>
      </c>
      <c r="G112" s="20">
        <f t="shared" si="31"/>
        <v>414.07711999999998</v>
      </c>
      <c r="H112" s="20">
        <f t="shared" si="31"/>
        <v>412.43327999999997</v>
      </c>
      <c r="I112" s="20">
        <f>H112*BDI_SERVIÇOS_MATERIAIS!$E$11</f>
        <v>120.23598113551365</v>
      </c>
      <c r="J112" s="20">
        <f>BDI_SERVIÇOS_MATERIAIS!$E$11*G112</f>
        <v>120.71520704868391</v>
      </c>
      <c r="K112" s="20">
        <f t="shared" si="29"/>
        <v>113.15092834752491</v>
      </c>
      <c r="L112" s="33">
        <v>7.6</v>
      </c>
      <c r="M112" s="22">
        <v>2</v>
      </c>
      <c r="N112" s="22">
        <f t="shared" si="35"/>
        <v>1</v>
      </c>
      <c r="O112" s="22">
        <f t="shared" si="32"/>
        <v>2.12E-2</v>
      </c>
      <c r="P112" s="33">
        <f t="shared" si="33"/>
        <v>76.257084524999982</v>
      </c>
      <c r="Q112" s="33"/>
      <c r="R112" s="33"/>
      <c r="S112" s="33"/>
      <c r="T112" s="33"/>
      <c r="U112" s="33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0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1">
        <f t="shared" ref="CO112:CO117" si="36">K112</f>
        <v>113.15092834752491</v>
      </c>
      <c r="CP112" s="29"/>
      <c r="CQ112" s="29"/>
      <c r="CR112" s="29"/>
      <c r="CS112" s="29"/>
      <c r="CT112" s="29"/>
      <c r="CU112" s="29"/>
      <c r="CV112" s="29"/>
      <c r="CW112" s="29"/>
      <c r="CX112" s="29"/>
    </row>
    <row r="113" spans="3:102" ht="28.8">
      <c r="C113" s="32" t="s">
        <v>402</v>
      </c>
      <c r="D113" s="31" t="s">
        <v>86</v>
      </c>
      <c r="E113" s="62">
        <v>108</v>
      </c>
      <c r="F113" s="32" t="str">
        <f>IF(D113="","",VLOOKUP(D113,Preços!B:C,2,FALSE))</f>
        <v>COTOVELO DE AÇO GALVANIZADO 4" - FORNECIMENTO E INSTALAÇÃO</v>
      </c>
      <c r="G113" s="20">
        <f t="shared" si="31"/>
        <v>6384</v>
      </c>
      <c r="H113" s="20">
        <f t="shared" si="31"/>
        <v>1229.7750000000001</v>
      </c>
      <c r="I113" s="20">
        <f>H113*BDI_SERVIÇOS_MATERIAIS!$E$11</f>
        <v>358.51423944480501</v>
      </c>
      <c r="J113" s="20">
        <f>BDI_SERVIÇOS_MATERIAIS!$E$11*G113</f>
        <v>1861.1167934098801</v>
      </c>
      <c r="K113" s="20">
        <f t="shared" si="29"/>
        <v>1042.3410394825964</v>
      </c>
      <c r="L113" s="33">
        <v>23.75</v>
      </c>
      <c r="M113" s="22">
        <v>2</v>
      </c>
      <c r="N113" s="22">
        <f t="shared" si="35"/>
        <v>2</v>
      </c>
      <c r="O113" s="22">
        <f t="shared" si="32"/>
        <v>4.24E-2</v>
      </c>
      <c r="P113" s="33">
        <f t="shared" si="33"/>
        <v>76.299484524999983</v>
      </c>
      <c r="Q113" s="33"/>
      <c r="R113" s="33"/>
      <c r="S113" s="33"/>
      <c r="T113" s="33"/>
      <c r="U113" s="33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0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1">
        <f t="shared" si="36"/>
        <v>1042.3410394825964</v>
      </c>
      <c r="CP113" s="29"/>
      <c r="CQ113" s="29"/>
      <c r="CR113" s="29"/>
      <c r="CS113" s="29"/>
      <c r="CT113" s="29"/>
      <c r="CU113" s="29"/>
      <c r="CV113" s="29"/>
      <c r="CW113" s="29"/>
      <c r="CX113" s="29"/>
    </row>
    <row r="114" spans="3:102" ht="72">
      <c r="C114" s="32" t="s">
        <v>402</v>
      </c>
      <c r="D114" s="31" t="s">
        <v>87</v>
      </c>
      <c r="E114" s="62">
        <v>109</v>
      </c>
      <c r="F114" s="32" t="str">
        <f>IF(D114="","",VLOOKUP(D114,Preços!B:C,2,FALSE))</f>
        <v xml:space="preserve">COTOVELO DE 90 GRAUS, DE REDUÇÃO EM FERRO GALVANIZADO, CONEXÃO ROSQUEADA, 1"X3/4", INSTALADO EM REDE DE ALIMENTAÇÃO PARA SPRINKLER - FORNECIMENTO E INSTALAÇÃO. </v>
      </c>
      <c r="G114" s="20">
        <f t="shared" si="31"/>
        <v>21419.019899999999</v>
      </c>
      <c r="H114" s="20">
        <f t="shared" si="31"/>
        <v>27857.241720000002</v>
      </c>
      <c r="I114" s="20">
        <f>H114*BDI_SERVIÇOS_MATERIAIS!$E$11</f>
        <v>8121.1748720504911</v>
      </c>
      <c r="J114" s="20">
        <f>BDI_SERVIÇOS_MATERIAIS!$E$11*G114</f>
        <v>6244.250882561154</v>
      </c>
      <c r="K114" s="20">
        <f t="shared" si="29"/>
        <v>6746.0188617088343</v>
      </c>
      <c r="L114" s="33">
        <v>515.5</v>
      </c>
      <c r="M114" s="22">
        <v>3</v>
      </c>
      <c r="N114" s="22">
        <f t="shared" si="35"/>
        <v>22</v>
      </c>
      <c r="O114" s="22">
        <f t="shared" si="32"/>
        <v>0.46640000000000004</v>
      </c>
      <c r="P114" s="33">
        <f t="shared" si="33"/>
        <v>76.765884524999976</v>
      </c>
      <c r="Q114" s="33"/>
      <c r="R114" s="33"/>
      <c r="S114" s="33"/>
      <c r="T114" s="33"/>
      <c r="U114" s="33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0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1">
        <f t="shared" si="36"/>
        <v>6746.0188617088343</v>
      </c>
      <c r="CP114" s="29"/>
      <c r="CQ114" s="29"/>
      <c r="CR114" s="29"/>
      <c r="CS114" s="29"/>
      <c r="CT114" s="29"/>
      <c r="CU114" s="29"/>
      <c r="CV114" s="29"/>
      <c r="CW114" s="29"/>
      <c r="CX114" s="29"/>
    </row>
    <row r="115" spans="3:102" ht="72">
      <c r="C115" s="32" t="s">
        <v>402</v>
      </c>
      <c r="D115" s="31" t="s">
        <v>88</v>
      </c>
      <c r="E115" s="62">
        <v>110</v>
      </c>
      <c r="F115" s="32" t="str">
        <f>IF(D115="","",VLOOKUP(D115,Preços!B:C,2,FALSE))</f>
        <v>COTOVELO 90 GRAUS,DE REDUÇÃO EM FERRO GALVANIZADO, CONEXÃO ROSQUEADA, 2"X1.1/2", INSTALADO EM REDE DE ALIMENTAÇÃO PARA SPRINKLER - FORNECIMENTO E INSTALAÇÃO</v>
      </c>
      <c r="G115" s="20">
        <f t="shared" si="31"/>
        <v>15544.41504</v>
      </c>
      <c r="H115" s="20">
        <f t="shared" si="31"/>
        <v>7101.1802399999997</v>
      </c>
      <c r="I115" s="20">
        <f>H115*BDI_SERVIÇOS_MATERIAIS!$E$11</f>
        <v>2070.195143749123</v>
      </c>
      <c r="J115" s="20">
        <f>BDI_SERVIÇOS_MATERIAIS!$E$11*G115</f>
        <v>4531.6371984143343</v>
      </c>
      <c r="K115" s="20">
        <f t="shared" si="29"/>
        <v>3100.2273279493265</v>
      </c>
      <c r="L115" s="33">
        <v>131.4</v>
      </c>
      <c r="M115" s="22">
        <v>3</v>
      </c>
      <c r="N115" s="22">
        <f t="shared" si="35"/>
        <v>6</v>
      </c>
      <c r="O115" s="22">
        <f t="shared" si="32"/>
        <v>0.12719999999999998</v>
      </c>
      <c r="P115" s="33">
        <f t="shared" si="33"/>
        <v>76.893084524999978</v>
      </c>
      <c r="Q115" s="33"/>
      <c r="R115" s="33"/>
      <c r="S115" s="33"/>
      <c r="T115" s="33"/>
      <c r="U115" s="33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0"/>
      <c r="BJ115" s="20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1">
        <f t="shared" si="36"/>
        <v>3100.2273279493265</v>
      </c>
      <c r="CP115" s="29"/>
      <c r="CQ115" s="29"/>
      <c r="CR115" s="29"/>
      <c r="CS115" s="29"/>
      <c r="CT115" s="29"/>
      <c r="CU115" s="29"/>
      <c r="CV115" s="29"/>
      <c r="CW115" s="29"/>
      <c r="CX115" s="29"/>
    </row>
    <row r="116" spans="3:102" ht="28.8">
      <c r="C116" s="32" t="s">
        <v>402</v>
      </c>
      <c r="D116" s="31" t="s">
        <v>89</v>
      </c>
      <c r="E116" s="62">
        <v>111</v>
      </c>
      <c r="F116" s="32" t="str">
        <f>IF(D116="","",VLOOKUP(D116,Preços!B:C,2,FALSE))</f>
        <v>COTOVELO 90 GRAUS AÇO GALVANIZADO , REDUÇÃO 2.1/2" X 2"</v>
      </c>
      <c r="G116" s="20">
        <f t="shared" si="31"/>
        <v>2572.7647999999999</v>
      </c>
      <c r="H116" s="20">
        <f t="shared" si="31"/>
        <v>1292.6367999999998</v>
      </c>
      <c r="I116" s="20">
        <f>H116*BDI_SERVIÇOS_MATERIAIS!$E$11</f>
        <v>376.84023437650501</v>
      </c>
      <c r="J116" s="20">
        <f>BDI_SERVIÇOS_MATERIAIS!$E$11*G116</f>
        <v>750.03379930667472</v>
      </c>
      <c r="K116" s="20">
        <f t="shared" si="29"/>
        <v>529.18121717041709</v>
      </c>
      <c r="L116" s="33">
        <v>23.9</v>
      </c>
      <c r="M116" s="22">
        <v>2</v>
      </c>
      <c r="N116" s="22">
        <f t="shared" si="35"/>
        <v>2</v>
      </c>
      <c r="O116" s="22">
        <f t="shared" si="32"/>
        <v>4.24E-2</v>
      </c>
      <c r="P116" s="33">
        <f t="shared" si="33"/>
        <v>76.935484524999978</v>
      </c>
      <c r="Q116" s="33"/>
      <c r="R116" s="33"/>
      <c r="S116" s="33"/>
      <c r="T116" s="33"/>
      <c r="U116" s="33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0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1">
        <f t="shared" si="36"/>
        <v>529.18121717041709</v>
      </c>
      <c r="CP116" s="29"/>
      <c r="CQ116" s="29"/>
      <c r="CR116" s="29"/>
      <c r="CS116" s="29"/>
      <c r="CT116" s="29"/>
      <c r="CU116" s="29"/>
      <c r="CV116" s="29"/>
      <c r="CW116" s="29"/>
      <c r="CX116" s="29"/>
    </row>
    <row r="117" spans="3:102" ht="28.8">
      <c r="C117" s="32" t="s">
        <v>402</v>
      </c>
      <c r="D117" s="31" t="s">
        <v>90</v>
      </c>
      <c r="E117" s="62">
        <v>112</v>
      </c>
      <c r="F117" s="32" t="str">
        <f>IF(D117="","",VLOOKUP(D117,Preços!B:C,2,FALSE))</f>
        <v>COTOVELO 90 GRAUS AÇO GALVANIZADO , REDUÇÃO 4" X 2"</v>
      </c>
      <c r="G117" s="20">
        <f t="shared" si="31"/>
        <v>2224.2673000000004</v>
      </c>
      <c r="H117" s="20">
        <f t="shared" si="31"/>
        <v>256.69</v>
      </c>
      <c r="I117" s="20">
        <f>H117*BDI_SERVIÇOS_MATERIAIS!$E$11</f>
        <v>74.832404401688919</v>
      </c>
      <c r="J117" s="20">
        <f>BDI_SERVIÇOS_MATERIAIS!$E$11*G117</f>
        <v>648.43690868772751</v>
      </c>
      <c r="K117" s="20">
        <f t="shared" si="29"/>
        <v>339.64802098747816</v>
      </c>
      <c r="L117" s="33">
        <v>23.9</v>
      </c>
      <c r="M117" s="22">
        <v>2</v>
      </c>
      <c r="N117" s="22">
        <f t="shared" si="35"/>
        <v>2</v>
      </c>
      <c r="O117" s="22">
        <f t="shared" si="32"/>
        <v>4.24E-2</v>
      </c>
      <c r="P117" s="33">
        <f>O117+P116</f>
        <v>76.977884524999979</v>
      </c>
      <c r="Q117" s="33"/>
      <c r="R117" s="33"/>
      <c r="S117" s="33"/>
      <c r="T117" s="33"/>
      <c r="U117" s="33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0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1">
        <f t="shared" si="36"/>
        <v>339.64802098747816</v>
      </c>
      <c r="CP117" s="29"/>
      <c r="CQ117" s="29"/>
      <c r="CR117" s="29"/>
      <c r="CS117" s="29"/>
      <c r="CT117" s="29"/>
      <c r="CU117" s="29"/>
      <c r="CV117" s="29"/>
      <c r="CW117" s="29"/>
      <c r="CX117" s="29"/>
    </row>
    <row r="118" spans="3:102" ht="28.8">
      <c r="C118" s="32" t="s">
        <v>402</v>
      </c>
      <c r="D118" s="31" t="s">
        <v>91</v>
      </c>
      <c r="E118" s="62">
        <v>113</v>
      </c>
      <c r="F118" s="32" t="str">
        <f>IF(D118="","",VLOOKUP(D118,Preços!B:C,2,FALSE))</f>
        <v>COTOVELO 90 GRAUS AÇO GALVANIZADO , REDUÇÃO 4" X 2.1/2"</v>
      </c>
      <c r="G118" s="20">
        <f t="shared" si="31"/>
        <v>4003.6811400000001</v>
      </c>
      <c r="H118" s="20">
        <f t="shared" si="31"/>
        <v>462.04199999999992</v>
      </c>
      <c r="I118" s="20">
        <f>H118*BDI_SERVIÇOS_MATERIAIS!$E$11</f>
        <v>134.69832792304004</v>
      </c>
      <c r="J118" s="20">
        <f>BDI_SERVIÇOS_MATERIAIS!$E$11*G118</f>
        <v>1167.1864356379094</v>
      </c>
      <c r="K118" s="20">
        <f t="shared" si="29"/>
        <v>611.36643777746065</v>
      </c>
      <c r="L118" s="33">
        <v>8.6</v>
      </c>
      <c r="M118" s="22">
        <v>2</v>
      </c>
      <c r="N118" s="22">
        <f t="shared" si="35"/>
        <v>1</v>
      </c>
      <c r="O118" s="22">
        <f t="shared" si="32"/>
        <v>2.12E-2</v>
      </c>
      <c r="P118" s="33">
        <f t="shared" ref="P118:P130" si="37">O118+P117</f>
        <v>76.999084524999972</v>
      </c>
      <c r="Q118" s="33"/>
      <c r="R118" s="33"/>
      <c r="S118" s="33"/>
      <c r="T118" s="33"/>
      <c r="U118" s="33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0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1">
        <f>K118</f>
        <v>611.36643777746065</v>
      </c>
      <c r="CP118" s="29"/>
      <c r="CQ118" s="29"/>
      <c r="CR118" s="29"/>
      <c r="CS118" s="29"/>
      <c r="CT118" s="29"/>
      <c r="CU118" s="29"/>
      <c r="CV118" s="29"/>
      <c r="CW118" s="29"/>
      <c r="CX118" s="29"/>
    </row>
    <row r="119" spans="3:102" ht="28.8">
      <c r="C119" s="32" t="s">
        <v>402</v>
      </c>
      <c r="D119" s="31" t="s">
        <v>92</v>
      </c>
      <c r="E119" s="62">
        <v>114</v>
      </c>
      <c r="F119" s="32" t="str">
        <f>IF(D119="","",VLOOKUP(D119,Preços!B:C,2,FALSE))</f>
        <v>TE DE REDUCAO DE   1"X3/4"</v>
      </c>
      <c r="G119" s="20">
        <f t="shared" si="31"/>
        <v>30303.587599999999</v>
      </c>
      <c r="H119" s="20">
        <f t="shared" si="31"/>
        <v>36570.27304</v>
      </c>
      <c r="I119" s="20">
        <f>H119*BDI_SERVIÇOS_MATERIAIS!$E$11</f>
        <v>10661.27025287102</v>
      </c>
      <c r="J119" s="20">
        <f>BDI_SERVIÇOS_MATERIAIS!$E$11*G119</f>
        <v>8834.353976022463</v>
      </c>
      <c r="K119" s="20">
        <f t="shared" si="29"/>
        <v>9155.1653961027096</v>
      </c>
      <c r="L119" s="33">
        <v>676.7</v>
      </c>
      <c r="M119" s="22">
        <v>3</v>
      </c>
      <c r="N119" s="22">
        <f t="shared" si="35"/>
        <v>29</v>
      </c>
      <c r="O119" s="22">
        <f t="shared" si="32"/>
        <v>0.61480000000000001</v>
      </c>
      <c r="P119" s="33">
        <f t="shared" si="37"/>
        <v>77.613884524999975</v>
      </c>
      <c r="Q119" s="33"/>
      <c r="R119" s="33"/>
      <c r="S119" s="33"/>
      <c r="T119" s="33"/>
      <c r="U119" s="33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0"/>
      <c r="BN119" s="29"/>
      <c r="BO119" s="29"/>
      <c r="BP119" s="20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1">
        <f>K119</f>
        <v>9155.1653961027096</v>
      </c>
      <c r="CQ119" s="29"/>
      <c r="CR119" s="29"/>
      <c r="CS119" s="29"/>
      <c r="CT119" s="29"/>
      <c r="CU119" s="29"/>
      <c r="CV119" s="29"/>
      <c r="CW119" s="29"/>
      <c r="CX119" s="29"/>
    </row>
    <row r="120" spans="3:102" ht="28.8">
      <c r="C120" s="32" t="s">
        <v>402</v>
      </c>
      <c r="D120" s="31" t="s">
        <v>93</v>
      </c>
      <c r="E120" s="62">
        <v>115</v>
      </c>
      <c r="F120" s="32" t="str">
        <f>IF(D120="","",VLOOKUP(D120,Preços!B:C,2,FALSE))</f>
        <v>TE DE REDUCAO DE   1.1/2"X3/4"</v>
      </c>
      <c r="G120" s="20">
        <f t="shared" si="31"/>
        <v>68278.689180000001</v>
      </c>
      <c r="H120" s="20">
        <f t="shared" si="31"/>
        <v>47821.347000000002</v>
      </c>
      <c r="I120" s="20">
        <f>H120*BDI_SERVIÇOS_MATERIAIS!$E$11</f>
        <v>13941.276940034648</v>
      </c>
      <c r="J120" s="20">
        <f>BDI_SERVIÇOS_MATERIAIS!$E$11*G120</f>
        <v>19905.171532724227</v>
      </c>
      <c r="K120" s="20">
        <f t="shared" si="29"/>
        <v>15894.32737319244</v>
      </c>
      <c r="L120" s="33">
        <v>884.9</v>
      </c>
      <c r="M120" s="22">
        <v>3</v>
      </c>
      <c r="N120" s="22">
        <f t="shared" si="35"/>
        <v>37</v>
      </c>
      <c r="O120" s="22">
        <f t="shared" si="32"/>
        <v>0.78439999999999999</v>
      </c>
      <c r="P120" s="33">
        <f t="shared" si="37"/>
        <v>78.39828452499998</v>
      </c>
      <c r="Q120" s="33"/>
      <c r="R120" s="33"/>
      <c r="S120" s="33"/>
      <c r="T120" s="33"/>
      <c r="U120" s="33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0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1">
        <f>K120</f>
        <v>15894.32737319244</v>
      </c>
      <c r="CR120" s="29"/>
      <c r="CS120" s="29"/>
      <c r="CT120" s="29"/>
      <c r="CU120" s="29"/>
      <c r="CV120" s="29"/>
      <c r="CW120" s="29"/>
      <c r="CX120" s="29"/>
    </row>
    <row r="121" spans="3:102" ht="28.8">
      <c r="C121" s="32" t="s">
        <v>402</v>
      </c>
      <c r="D121" s="31" t="s">
        <v>94</v>
      </c>
      <c r="E121" s="62">
        <v>116</v>
      </c>
      <c r="F121" s="32" t="str">
        <f>IF(D121="","",VLOOKUP(D121,Preços!B:C,2,FALSE))</f>
        <v>TE DE REDUCAO DE   2"X1"</v>
      </c>
      <c r="G121" s="20">
        <f t="shared" si="31"/>
        <v>51376.784939999998</v>
      </c>
      <c r="H121" s="20">
        <f t="shared" si="31"/>
        <v>25939.848480000001</v>
      </c>
      <c r="I121" s="20">
        <f>H121*BDI_SERVIÇOS_MATERIAIS!$E$11</f>
        <v>7562.2004424554752</v>
      </c>
      <c r="J121" s="20">
        <f>BDI_SERVIÇOS_MATERIAIS!$E$11*G121</f>
        <v>14977.787788728354</v>
      </c>
      <c r="K121" s="20">
        <f t="shared" si="29"/>
        <v>10584.801895025486</v>
      </c>
      <c r="L121" s="33">
        <v>480</v>
      </c>
      <c r="M121" s="22">
        <v>3</v>
      </c>
      <c r="N121" s="22">
        <f t="shared" si="35"/>
        <v>20</v>
      </c>
      <c r="O121" s="22">
        <f t="shared" si="32"/>
        <v>0.42399999999999999</v>
      </c>
      <c r="P121" s="33">
        <f t="shared" si="37"/>
        <v>78.822284524999986</v>
      </c>
      <c r="Q121" s="33"/>
      <c r="R121" s="33"/>
      <c r="S121" s="33"/>
      <c r="T121" s="33"/>
      <c r="U121" s="33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0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1">
        <f t="shared" ref="CQ121:CQ123" si="38">K121</f>
        <v>10584.801895025486</v>
      </c>
      <c r="CR121" s="29"/>
      <c r="CS121" s="29"/>
      <c r="CT121" s="29"/>
      <c r="CU121" s="29"/>
      <c r="CV121" s="29"/>
      <c r="CW121" s="29"/>
      <c r="CX121" s="29"/>
    </row>
    <row r="122" spans="3:102" ht="28.8">
      <c r="C122" s="32" t="s">
        <v>402</v>
      </c>
      <c r="D122" s="31" t="s">
        <v>95</v>
      </c>
      <c r="E122" s="62">
        <v>117</v>
      </c>
      <c r="F122" s="32" t="str">
        <f>IF(D122="","",VLOOKUP(D122,Preços!B:C,2,FALSE))</f>
        <v>TE DE REDUCAO   2.1/2"X1"</v>
      </c>
      <c r="G122" s="20">
        <f t="shared" si="31"/>
        <v>4448.9172600000002</v>
      </c>
      <c r="H122" s="20">
        <f t="shared" si="31"/>
        <v>1335.1662799999999</v>
      </c>
      <c r="I122" s="20">
        <f>H122*BDI_SERVIÇOS_MATERIAIS!$E$11</f>
        <v>389.23878222158487</v>
      </c>
      <c r="J122" s="20">
        <f>BDI_SERVIÇOS_MATERIAIS!$E$11*G122</f>
        <v>1296.9853736022978</v>
      </c>
      <c r="K122" s="20">
        <f t="shared" si="29"/>
        <v>791.85261575733148</v>
      </c>
      <c r="L122" s="33">
        <v>24.7</v>
      </c>
      <c r="M122" s="22">
        <v>2</v>
      </c>
      <c r="N122" s="22">
        <f t="shared" si="35"/>
        <v>2</v>
      </c>
      <c r="O122" s="22">
        <f t="shared" si="32"/>
        <v>4.24E-2</v>
      </c>
      <c r="P122" s="33">
        <f t="shared" si="37"/>
        <v>78.864684524999987</v>
      </c>
      <c r="Q122" s="33"/>
      <c r="R122" s="33"/>
      <c r="S122" s="33"/>
      <c r="T122" s="33"/>
      <c r="U122" s="33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0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1">
        <f t="shared" si="38"/>
        <v>791.85261575733148</v>
      </c>
      <c r="CR122" s="29"/>
      <c r="CS122" s="29"/>
      <c r="CT122" s="29"/>
      <c r="CU122" s="29"/>
      <c r="CV122" s="29"/>
      <c r="CW122" s="29"/>
      <c r="CX122" s="29"/>
    </row>
    <row r="123" spans="3:102" ht="28.8">
      <c r="C123" s="32" t="s">
        <v>402</v>
      </c>
      <c r="D123" s="31" t="s">
        <v>96</v>
      </c>
      <c r="E123" s="62">
        <v>118</v>
      </c>
      <c r="F123" s="32" t="str">
        <f>IF(D123="","",VLOOKUP(D123,Preços!B:C,2,FALSE))</f>
        <v>TE DE REDUCAO  DE 2.1/2" X 2"</v>
      </c>
      <c r="G123" s="20">
        <f t="shared" si="31"/>
        <v>19934.567099999997</v>
      </c>
      <c r="H123" s="20">
        <f t="shared" si="31"/>
        <v>5814.4337999999998</v>
      </c>
      <c r="I123" s="20">
        <f>H123*BDI_SERVIÇOS_MATERIAIS!$E$11</f>
        <v>1695.0721161262568</v>
      </c>
      <c r="J123" s="20">
        <f>BDI_SERVIÇOS_MATERIAIS!$E$11*G123</f>
        <v>5811.4908519996998</v>
      </c>
      <c r="K123" s="20">
        <f t="shared" si="29"/>
        <v>3525.0897700213509</v>
      </c>
      <c r="L123" s="33">
        <v>107.6</v>
      </c>
      <c r="M123" s="22">
        <v>3</v>
      </c>
      <c r="N123" s="22">
        <f t="shared" si="35"/>
        <v>5</v>
      </c>
      <c r="O123" s="22">
        <f t="shared" si="32"/>
        <v>0.106</v>
      </c>
      <c r="P123" s="33">
        <f t="shared" si="37"/>
        <v>78.970684524999982</v>
      </c>
      <c r="Q123" s="33"/>
      <c r="R123" s="33"/>
      <c r="S123" s="33"/>
      <c r="T123" s="33"/>
      <c r="U123" s="33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0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1">
        <f t="shared" si="38"/>
        <v>3525.0897700213509</v>
      </c>
      <c r="CR123" s="29"/>
      <c r="CS123" s="29"/>
      <c r="CT123" s="29"/>
      <c r="CU123" s="29"/>
      <c r="CV123" s="29"/>
      <c r="CW123" s="29"/>
      <c r="CX123" s="29"/>
    </row>
    <row r="124" spans="3:102" ht="28.8">
      <c r="C124" s="32" t="s">
        <v>402</v>
      </c>
      <c r="D124" s="31" t="s">
        <v>97</v>
      </c>
      <c r="E124" s="62">
        <v>119</v>
      </c>
      <c r="F124" s="32" t="str">
        <f>IF(D124="","",VLOOKUP(D124,Preços!B:C,2,FALSE))</f>
        <v>TE DE REDUCAO  DE 4" X 2"</v>
      </c>
      <c r="G124" s="20">
        <f t="shared" si="31"/>
        <v>50638.049800000008</v>
      </c>
      <c r="H124" s="20">
        <f t="shared" si="31"/>
        <v>5599.0843999999997</v>
      </c>
      <c r="I124" s="20">
        <f>H124*BDI_SERVIÇOS_MATERIAIS!$E$11</f>
        <v>1632.2916673808397</v>
      </c>
      <c r="J124" s="20">
        <f>BDI_SERVIÇOS_MATERIAIS!$E$11*G124</f>
        <v>14762.425574609309</v>
      </c>
      <c r="K124" s="20">
        <f t="shared" si="29"/>
        <v>7698.9762528509573</v>
      </c>
      <c r="L124" s="33">
        <v>103.6</v>
      </c>
      <c r="M124" s="22">
        <v>3</v>
      </c>
      <c r="N124" s="22">
        <f t="shared" si="35"/>
        <v>5</v>
      </c>
      <c r="O124" s="22">
        <f t="shared" si="32"/>
        <v>0.106</v>
      </c>
      <c r="P124" s="33">
        <f t="shared" si="37"/>
        <v>79.076684524999976</v>
      </c>
      <c r="Q124" s="33"/>
      <c r="R124" s="33"/>
      <c r="S124" s="33"/>
      <c r="T124" s="33"/>
      <c r="U124" s="33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D124" s="20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1">
        <f>K124</f>
        <v>7698.9762528509573</v>
      </c>
      <c r="CS124" s="20"/>
      <c r="CT124" s="20"/>
      <c r="CU124" s="20"/>
      <c r="CV124" s="20"/>
      <c r="CW124" s="29"/>
      <c r="CX124" s="29"/>
    </row>
    <row r="125" spans="3:102" ht="28.8">
      <c r="C125" s="32" t="s">
        <v>402</v>
      </c>
      <c r="D125" s="31" t="s">
        <v>98</v>
      </c>
      <c r="E125" s="62">
        <v>120</v>
      </c>
      <c r="F125" s="32" t="str">
        <f>IF(D125="","",VLOOKUP(D125,Preços!B:C,2,FALSE))</f>
        <v>TE DE REDUCAO  DE 4" X 2.1/2"</v>
      </c>
      <c r="G125" s="20">
        <f t="shared" si="31"/>
        <v>11602.369999999999</v>
      </c>
      <c r="H125" s="20">
        <f t="shared" si="31"/>
        <v>1842.7640000000001</v>
      </c>
      <c r="I125" s="20">
        <f>H125*BDI_SERVIÇOS_MATERIAIS!$E$11</f>
        <v>537.21789265212476</v>
      </c>
      <c r="J125" s="20">
        <f>BDI_SERVIÇOS_MATERIAIS!$E$11*G125</f>
        <v>3382.4194314465831</v>
      </c>
      <c r="K125" s="20">
        <f t="shared" si="29"/>
        <v>1840.6657603544629</v>
      </c>
      <c r="L125" s="33">
        <v>34.1</v>
      </c>
      <c r="M125" s="22">
        <v>2</v>
      </c>
      <c r="N125" s="22">
        <f t="shared" si="35"/>
        <v>3</v>
      </c>
      <c r="O125" s="22">
        <f t="shared" si="32"/>
        <v>6.359999999999999E-2</v>
      </c>
      <c r="P125" s="33">
        <f t="shared" si="37"/>
        <v>79.14028452499997</v>
      </c>
      <c r="Q125" s="33"/>
      <c r="R125" s="33"/>
      <c r="S125" s="33"/>
      <c r="T125" s="33"/>
      <c r="U125" s="33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0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1">
        <f>K125</f>
        <v>1840.6657603544629</v>
      </c>
      <c r="CS125" s="20"/>
      <c r="CT125" s="20"/>
      <c r="CU125" s="20"/>
      <c r="CV125" s="20"/>
      <c r="CW125" s="29"/>
      <c r="CX125" s="29"/>
    </row>
    <row r="126" spans="3:102" ht="69.75" customHeight="1">
      <c r="C126" s="32" t="s">
        <v>402</v>
      </c>
      <c r="D126" s="31" t="s">
        <v>143</v>
      </c>
      <c r="E126" s="62">
        <v>121</v>
      </c>
      <c r="F126" s="32" t="str">
        <f>IF(D126="","",VLOOKUP(D126,Preços!B:C,2,FALSE))</f>
        <v>TÊ, EM FERRO GALVANIZADO, CONEXÃO ROSQUEADA, DN 25 (1"), INSTALADO EM REDE DE ALIMENTAÇÃO PARA SPRINKLER - FORNECIMENTO E INSTALAÇÃO. AF_10/2020</v>
      </c>
      <c r="G126" s="20">
        <f t="shared" si="31"/>
        <v>15956.8644</v>
      </c>
      <c r="H126" s="20">
        <f t="shared" si="31"/>
        <v>22539.759760000001</v>
      </c>
      <c r="I126" s="20">
        <f>H126*BDI_SERVIÇOS_MATERIAIS!$E$11</f>
        <v>6570.9782908459038</v>
      </c>
      <c r="J126" s="20">
        <f>BDI_SERVIÇOS_MATERIAIS!$E$11*G126</f>
        <v>4651.87786732523</v>
      </c>
      <c r="K126" s="20">
        <f t="shared" si="29"/>
        <v>5270.2649137261396</v>
      </c>
      <c r="L126" s="33">
        <v>417.1</v>
      </c>
      <c r="M126" s="22">
        <v>3</v>
      </c>
      <c r="N126" s="22">
        <f t="shared" si="35"/>
        <v>18</v>
      </c>
      <c r="O126" s="22">
        <f t="shared" si="32"/>
        <v>0.38159999999999999</v>
      </c>
      <c r="P126" s="33">
        <f>O126+P125</f>
        <v>79.521884524999976</v>
      </c>
      <c r="Q126" s="33"/>
      <c r="R126" s="33"/>
      <c r="S126" s="33"/>
      <c r="T126" s="33"/>
      <c r="U126" s="33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0"/>
      <c r="CJ126" s="29"/>
      <c r="CK126" s="29"/>
      <c r="CL126" s="29"/>
      <c r="CM126" s="29"/>
      <c r="CN126" s="29"/>
      <c r="CO126" s="29"/>
      <c r="CP126" s="29"/>
      <c r="CQ126" s="29"/>
      <c r="CR126" s="21">
        <f t="shared" ref="CR126:CR131" si="39">K126</f>
        <v>5270.2649137261396</v>
      </c>
      <c r="CS126" s="20"/>
      <c r="CT126" s="20"/>
      <c r="CU126" s="20"/>
      <c r="CV126" s="20"/>
      <c r="CW126" s="29"/>
      <c r="CX126" s="29"/>
    </row>
    <row r="127" spans="3:102" ht="28.8">
      <c r="C127" s="32" t="s">
        <v>402</v>
      </c>
      <c r="D127" s="31" t="s">
        <v>144</v>
      </c>
      <c r="E127" s="62">
        <v>122</v>
      </c>
      <c r="F127" s="32" t="str">
        <f>IF(D127="","",VLOOKUP(D127,Preços!B:C,2,FALSE))</f>
        <v>TE DE ACO GALVANIZADO 4" - FORNECIMENTO E INSTALACAO</v>
      </c>
      <c r="G127" s="20">
        <f t="shared" si="31"/>
        <v>3260.8999999999996</v>
      </c>
      <c r="H127" s="20">
        <f t="shared" si="31"/>
        <v>569.57999999999993</v>
      </c>
      <c r="I127" s="20">
        <f>H127*BDI_SERVIÇOS_MATERIAIS!$E$11</f>
        <v>166.04870037443598</v>
      </c>
      <c r="J127" s="20">
        <f>BDI_SERVIÇOS_MATERIAIS!$E$11*G127</f>
        <v>950.64469793707349</v>
      </c>
      <c r="K127" s="20">
        <f t="shared" si="29"/>
        <v>524.40038022101999</v>
      </c>
      <c r="L127" s="33">
        <v>11</v>
      </c>
      <c r="M127" s="22">
        <v>2</v>
      </c>
      <c r="N127" s="22">
        <f t="shared" si="35"/>
        <v>1</v>
      </c>
      <c r="O127" s="22">
        <f t="shared" si="32"/>
        <v>2.12E-2</v>
      </c>
      <c r="P127" s="33">
        <f t="shared" si="37"/>
        <v>79.543084524999969</v>
      </c>
      <c r="Q127" s="33"/>
      <c r="R127" s="33"/>
      <c r="S127" s="33"/>
      <c r="T127" s="33"/>
      <c r="U127" s="33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0"/>
      <c r="CJ127" s="29"/>
      <c r="CK127" s="29"/>
      <c r="CL127" s="29"/>
      <c r="CM127" s="29"/>
      <c r="CN127" s="29"/>
      <c r="CO127" s="29"/>
      <c r="CP127" s="29"/>
      <c r="CQ127" s="29"/>
      <c r="CR127" s="21">
        <f t="shared" si="39"/>
        <v>524.40038022101999</v>
      </c>
      <c r="CS127" s="20"/>
      <c r="CT127" s="20"/>
      <c r="CU127" s="20"/>
      <c r="CV127" s="20"/>
      <c r="CW127" s="29"/>
      <c r="CX127" s="29"/>
    </row>
    <row r="128" spans="3:102" ht="43.2">
      <c r="C128" s="32" t="s">
        <v>402</v>
      </c>
      <c r="D128" s="31" t="s">
        <v>145</v>
      </c>
      <c r="E128" s="62">
        <v>123</v>
      </c>
      <c r="F128" s="32" t="str">
        <f>IF(D128="","",VLOOKUP(D128,Preços!B:C,2,FALSE))</f>
        <v>BUCHA DE REDUCAO DE FERRO GALVANIZADO, COM ROSCA BSP, DE 1" X 3/4"</v>
      </c>
      <c r="G128" s="20">
        <f t="shared" si="31"/>
        <v>2594.7019</v>
      </c>
      <c r="H128" s="20">
        <f t="shared" si="31"/>
        <v>3985.1797999999999</v>
      </c>
      <c r="I128" s="20">
        <f>H128*BDI_SERVIÇOS_MATERIAIS!$E$11</f>
        <v>1161.792771074221</v>
      </c>
      <c r="J128" s="20">
        <f>BDI_SERVIÇOS_MATERIAIS!$E$11*G128</f>
        <v>756.42908521029494</v>
      </c>
      <c r="K128" s="20">
        <f t="shared" si="29"/>
        <v>900.79897696615865</v>
      </c>
      <c r="L128" s="33">
        <v>73.7</v>
      </c>
      <c r="M128" s="22">
        <v>2</v>
      </c>
      <c r="N128" s="22">
        <f t="shared" si="35"/>
        <v>5</v>
      </c>
      <c r="O128" s="22">
        <f t="shared" si="32"/>
        <v>0.106</v>
      </c>
      <c r="P128" s="33">
        <f t="shared" si="37"/>
        <v>79.649084524999964</v>
      </c>
      <c r="Q128" s="33"/>
      <c r="R128" s="33"/>
      <c r="S128" s="33"/>
      <c r="T128" s="33"/>
      <c r="U128" s="33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0"/>
      <c r="CK128" s="20"/>
      <c r="CL128" s="20"/>
      <c r="CM128" s="20"/>
      <c r="CN128" s="20"/>
      <c r="CO128" s="20"/>
      <c r="CP128" s="20"/>
      <c r="CQ128" s="20"/>
      <c r="CR128" s="21">
        <f t="shared" si="39"/>
        <v>900.79897696615865</v>
      </c>
      <c r="CS128" s="20"/>
      <c r="CT128" s="20"/>
      <c r="CU128" s="20"/>
      <c r="CV128" s="20"/>
      <c r="CW128" s="29"/>
      <c r="CX128" s="29"/>
    </row>
    <row r="129" spans="3:102" ht="28.8">
      <c r="C129" s="32" t="s">
        <v>402</v>
      </c>
      <c r="D129" s="31" t="s">
        <v>146</v>
      </c>
      <c r="E129" s="62">
        <v>124</v>
      </c>
      <c r="F129" s="32" t="str">
        <f>IF(D129="","",VLOOKUP(D129,Preços!B:C,2,FALSE))</f>
        <v>VALVULA ESFERA AÇO GALVANIZADO   1.1/4" - FORCECIMENTO E INSTALAÇÃO</v>
      </c>
      <c r="G129" s="20">
        <f t="shared" si="31"/>
        <v>422.18824000000001</v>
      </c>
      <c r="H129" s="20">
        <f t="shared" si="31"/>
        <v>170.55024</v>
      </c>
      <c r="I129" s="20">
        <f>H129*BDI_SERVIÇOS_MATERIAIS!$E$11</f>
        <v>49.720224903522158</v>
      </c>
      <c r="J129" s="20">
        <f>BDI_SERVIÇOS_MATERIAIS!$E$11*G129</f>
        <v>123.07982823373447</v>
      </c>
      <c r="K129" s="20">
        <f t="shared" si="29"/>
        <v>81.147084512549199</v>
      </c>
      <c r="L129" s="33">
        <v>3</v>
      </c>
      <c r="M129" s="22">
        <v>2</v>
      </c>
      <c r="N129" s="22">
        <f t="shared" si="35"/>
        <v>1</v>
      </c>
      <c r="O129" s="22">
        <f t="shared" si="32"/>
        <v>2.12E-2</v>
      </c>
      <c r="P129" s="33">
        <f t="shared" si="37"/>
        <v>79.670284524999957</v>
      </c>
      <c r="Q129" s="33"/>
      <c r="R129" s="33"/>
      <c r="S129" s="33"/>
      <c r="T129" s="33"/>
      <c r="U129" s="33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0"/>
      <c r="CK129" s="20"/>
      <c r="CL129" s="20"/>
      <c r="CM129" s="20"/>
      <c r="CN129" s="20"/>
      <c r="CO129" s="20"/>
      <c r="CP129" s="20"/>
      <c r="CQ129" s="20"/>
      <c r="CR129" s="21">
        <f t="shared" si="39"/>
        <v>81.147084512549199</v>
      </c>
      <c r="CS129" s="20"/>
      <c r="CT129" s="20"/>
      <c r="CU129" s="20"/>
      <c r="CV129" s="20"/>
      <c r="CW129" s="29"/>
      <c r="CX129" s="29"/>
    </row>
    <row r="130" spans="3:102" ht="28.8">
      <c r="C130" s="32" t="s">
        <v>402</v>
      </c>
      <c r="D130" s="31" t="s">
        <v>147</v>
      </c>
      <c r="E130" s="62">
        <v>125</v>
      </c>
      <c r="F130" s="32" t="str">
        <f>IF(D130="","",VLOOKUP(D130,Preços!B:C,2,FALSE))</f>
        <v>REGISTRO DE  RECALQUE DUPLO</v>
      </c>
      <c r="G130" s="20">
        <f t="shared" si="31"/>
        <v>1614.27</v>
      </c>
      <c r="H130" s="20">
        <f t="shared" si="31"/>
        <v>103.56</v>
      </c>
      <c r="I130" s="20">
        <f>H130*BDI_SERVIÇOS_MATERIAIS!$E$11</f>
        <v>30.190672795352</v>
      </c>
      <c r="J130" s="20">
        <f>BDI_SERVIÇOS_MATERIAIS!$E$11*G130</f>
        <v>470.60542075466276</v>
      </c>
      <c r="K130" s="20">
        <f t="shared" si="29"/>
        <v>235.17436591630153</v>
      </c>
      <c r="L130" s="33">
        <v>4</v>
      </c>
      <c r="M130" s="22">
        <v>2</v>
      </c>
      <c r="N130" s="22">
        <f t="shared" si="35"/>
        <v>1</v>
      </c>
      <c r="O130" s="22">
        <f t="shared" si="32"/>
        <v>2.12E-2</v>
      </c>
      <c r="P130" s="33">
        <f t="shared" si="37"/>
        <v>79.69148452499995</v>
      </c>
      <c r="Q130" s="33"/>
      <c r="R130" s="33"/>
      <c r="S130" s="33"/>
      <c r="T130" s="33"/>
      <c r="U130" s="33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  <c r="AQ130" s="29"/>
      <c r="AR130" s="29"/>
      <c r="AS130" s="29"/>
      <c r="AT130" s="29"/>
      <c r="AU130" s="29"/>
      <c r="AV130" s="29"/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0"/>
      <c r="CK130" s="20"/>
      <c r="CL130" s="20"/>
      <c r="CM130" s="20"/>
      <c r="CN130" s="20"/>
      <c r="CO130" s="20"/>
      <c r="CP130" s="20"/>
      <c r="CQ130" s="20"/>
      <c r="CR130" s="21">
        <f t="shared" si="39"/>
        <v>235.17436591630153</v>
      </c>
      <c r="CS130" s="20"/>
      <c r="CT130" s="20"/>
      <c r="CU130" s="20"/>
      <c r="CV130" s="20"/>
      <c r="CW130" s="29"/>
      <c r="CX130" s="29"/>
    </row>
    <row r="131" spans="3:102" ht="28.8">
      <c r="C131" s="32" t="s">
        <v>402</v>
      </c>
      <c r="D131" s="31" t="s">
        <v>63</v>
      </c>
      <c r="E131" s="62">
        <v>126</v>
      </c>
      <c r="F131" s="32" t="str">
        <f>IF(D131="","",VLOOKUP(D131,Preços!B:C,2,FALSE))</f>
        <v xml:space="preserve">SPK PENDENTE K11 ( K160) RESPOSTA PADRÃO - COBERTURA </v>
      </c>
      <c r="G131" s="20">
        <f t="shared" si="31"/>
        <v>66811.997399999993</v>
      </c>
      <c r="H131" s="20">
        <f t="shared" si="31"/>
        <v>5050.0380000000005</v>
      </c>
      <c r="I131" s="20">
        <f>H131*BDI_SERVIÇOS_MATERIAIS!$E$11</f>
        <v>1472.2290929132275</v>
      </c>
      <c r="J131" s="20">
        <f>BDI_SERVIÇOS_MATERIAIS!$E$11*G131</f>
        <v>19477.589342480769</v>
      </c>
      <c r="K131" s="20">
        <f t="shared" si="29"/>
        <v>9838.056506551764</v>
      </c>
      <c r="L131" s="33">
        <v>133.5</v>
      </c>
      <c r="M131" s="22">
        <v>3</v>
      </c>
      <c r="N131" s="22">
        <f t="shared" si="35"/>
        <v>6</v>
      </c>
      <c r="O131" s="22">
        <f t="shared" si="32"/>
        <v>0.12719999999999998</v>
      </c>
      <c r="P131" s="33">
        <f>P130+O131</f>
        <v>79.818684524999952</v>
      </c>
      <c r="Q131" s="33"/>
      <c r="R131" s="33"/>
      <c r="S131" s="33"/>
      <c r="T131" s="33"/>
      <c r="U131" s="33"/>
      <c r="V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0"/>
      <c r="CL131" s="29"/>
      <c r="CN131" s="29"/>
      <c r="CO131" s="29"/>
      <c r="CP131" s="29"/>
      <c r="CQ131" s="29"/>
      <c r="CR131" s="21">
        <f t="shared" si="39"/>
        <v>9838.056506551764</v>
      </c>
      <c r="CS131" s="20"/>
      <c r="CT131" s="20"/>
      <c r="CU131" s="20"/>
      <c r="CV131" s="20"/>
      <c r="CW131" s="29"/>
      <c r="CX131" s="29"/>
    </row>
    <row r="132" spans="3:102" ht="28.8">
      <c r="C132" s="32" t="s">
        <v>402</v>
      </c>
      <c r="D132" s="31" t="s">
        <v>64</v>
      </c>
      <c r="E132" s="62">
        <v>127</v>
      </c>
      <c r="F132" s="32" t="str">
        <f>IF(D132="","",VLOOKUP(D132,Preços!B:C,2,FALSE))</f>
        <v xml:space="preserve">SPK PENDENTE K8 ( K115) RESPOSTA RÁPIDA - INTERMEDIÁRIO </v>
      </c>
      <c r="G132" s="20">
        <f t="shared" si="31"/>
        <v>125368.16472</v>
      </c>
      <c r="H132" s="20">
        <f t="shared" si="31"/>
        <v>9600.7464</v>
      </c>
      <c r="I132" s="20">
        <f>H132*BDI_SERVIÇOS_MATERIAIS!$E$11</f>
        <v>2798.8894665271696</v>
      </c>
      <c r="J132" s="20">
        <f>BDI_SERVIÇOS_MATERIAIS!$E$11*G132</f>
        <v>36548.370413434845</v>
      </c>
      <c r="K132" s="20">
        <f t="shared" si="29"/>
        <v>18477.514125995975</v>
      </c>
      <c r="L132" s="33">
        <v>253.8</v>
      </c>
      <c r="M132" s="22">
        <v>3</v>
      </c>
      <c r="N132" s="22">
        <f t="shared" si="35"/>
        <v>11</v>
      </c>
      <c r="O132" s="22">
        <f t="shared" si="32"/>
        <v>0.23320000000000002</v>
      </c>
      <c r="P132" s="33">
        <f t="shared" ref="P132" si="40">O132+P131</f>
        <v>80.051884524999949</v>
      </c>
      <c r="Q132" s="33"/>
      <c r="R132" s="33"/>
      <c r="S132" s="33"/>
      <c r="T132" s="33"/>
      <c r="U132" s="33"/>
      <c r="V132" s="29"/>
      <c r="W132" s="29"/>
      <c r="X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M132" s="20"/>
      <c r="CN132" s="29"/>
      <c r="CO132" s="29"/>
      <c r="CP132" s="29"/>
      <c r="CQ132" s="29"/>
      <c r="CR132" s="29"/>
      <c r="CS132" s="21">
        <f>K132</f>
        <v>18477.514125995975</v>
      </c>
      <c r="CT132" s="29"/>
      <c r="CU132" s="29"/>
      <c r="CV132" s="29"/>
      <c r="CW132" s="29"/>
      <c r="CX132" s="29"/>
    </row>
    <row r="133" spans="3:102" ht="28.8">
      <c r="C133" s="32" t="s">
        <v>406</v>
      </c>
      <c r="D133" s="31" t="s">
        <v>561</v>
      </c>
      <c r="E133" s="62">
        <v>128</v>
      </c>
      <c r="F133" s="32" t="str">
        <f>IF(D133="","",VLOOKUP(D133,Preços!B:C,2,FALSE))</f>
        <v>PASSOU PARA A PLANILHA DO RESERVATÓRIO (PLANILHA EXTERNA)</v>
      </c>
      <c r="G133" s="20">
        <f>IF(D133="","",VLOOKUP(D133,Preços!B:M,9,FALSE))</f>
        <v>0</v>
      </c>
      <c r="H133" s="20">
        <f>IF(D133="","",VLOOKUP(D133,Preços!B:M,8,FALSE))</f>
        <v>0</v>
      </c>
      <c r="I133" s="20">
        <f>H133*BDI_SERVIÇOS_MATERIAIS!$E$11</f>
        <v>0</v>
      </c>
      <c r="J133" s="20">
        <f>BDI_SERVIÇOS_MATERIAIS!$E$11*G133</f>
        <v>0</v>
      </c>
      <c r="K133" s="20">
        <f>G133+H133+I133+J133</f>
        <v>0</v>
      </c>
      <c r="L133" s="33">
        <v>220</v>
      </c>
      <c r="M133" s="22">
        <v>1</v>
      </c>
      <c r="N133" s="22">
        <f t="shared" si="35"/>
        <v>28</v>
      </c>
      <c r="O133" s="22">
        <f>N133/5</f>
        <v>5.6</v>
      </c>
      <c r="P133" s="33">
        <f>P6+O133</f>
        <v>10.6</v>
      </c>
      <c r="Q133" s="33"/>
      <c r="R133" s="33"/>
      <c r="S133" s="33"/>
      <c r="T133" s="33"/>
      <c r="U133" s="33"/>
      <c r="V133" s="66"/>
      <c r="W133" s="66"/>
      <c r="X133" s="66"/>
      <c r="Y133" s="66"/>
      <c r="Z133" s="73"/>
      <c r="AA133" s="21">
        <f>K133</f>
        <v>0</v>
      </c>
      <c r="AB133" s="29"/>
      <c r="AD133" s="29"/>
      <c r="AE133" s="29"/>
      <c r="AF133" s="29"/>
      <c r="AG133" s="29"/>
      <c r="AH133" s="29"/>
      <c r="AI133" s="29"/>
      <c r="AJ133" s="29"/>
      <c r="AK133" s="20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0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</row>
    <row r="134" spans="3:102" ht="28.8">
      <c r="C134" s="32" t="s">
        <v>406</v>
      </c>
      <c r="D134" s="31" t="s">
        <v>415</v>
      </c>
      <c r="E134" s="62">
        <v>129</v>
      </c>
      <c r="F134" s="32" t="str">
        <f>IF(D134="","",VLOOKUP(D134,Preços!B:C,2,FALSE))</f>
        <v>PASSOU PARA A PLANILHA DO RESERVATÓRIO (PLANILHA EXTERNA)</v>
      </c>
      <c r="G134" s="20">
        <f>Preços!J236</f>
        <v>0</v>
      </c>
      <c r="H134" s="20" t="str">
        <f>Preços!I236</f>
        <v>-</v>
      </c>
      <c r="I134" s="20">
        <f>Preços!L236</f>
        <v>0</v>
      </c>
      <c r="J134" s="76">
        <f>BDI_DIFERENCIADO!E10*G134</f>
        <v>0</v>
      </c>
      <c r="K134" s="20">
        <f>SUM(G134:J134)</f>
        <v>0</v>
      </c>
      <c r="L134" s="33">
        <v>320</v>
      </c>
      <c r="M134" s="22">
        <v>1</v>
      </c>
      <c r="N134" s="22">
        <f t="shared" si="35"/>
        <v>40</v>
      </c>
      <c r="O134" s="22">
        <f>N134/5</f>
        <v>8</v>
      </c>
      <c r="P134" s="33">
        <f>P133+O134</f>
        <v>18.600000000000001</v>
      </c>
      <c r="Q134" s="33"/>
      <c r="R134" s="33"/>
      <c r="S134" s="33"/>
      <c r="T134" s="33"/>
      <c r="U134" s="33"/>
      <c r="V134" s="29"/>
      <c r="W134" s="29"/>
      <c r="X134" s="29"/>
      <c r="Y134" s="29"/>
      <c r="Z134" s="29"/>
      <c r="AA134" s="29"/>
      <c r="AB134" s="66"/>
      <c r="AC134" s="66"/>
      <c r="AD134" s="66"/>
      <c r="AE134" s="73"/>
      <c r="AF134" s="66"/>
      <c r="AG134" s="66"/>
      <c r="AH134" s="66"/>
      <c r="AI134" s="21">
        <f>K134</f>
        <v>0</v>
      </c>
      <c r="AJ134" s="29"/>
      <c r="AK134" s="29"/>
      <c r="AL134" s="29"/>
      <c r="AM134" s="29"/>
      <c r="AN134" s="29"/>
      <c r="AO134" s="29"/>
      <c r="AP134" s="29"/>
      <c r="AQ134" s="29"/>
      <c r="AR134" s="29"/>
      <c r="AS134" s="20"/>
      <c r="AT134" s="29"/>
      <c r="AU134" s="29"/>
      <c r="AV134" s="29"/>
      <c r="AW134" s="29"/>
      <c r="AX134" s="20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</row>
    <row r="135" spans="3:102" ht="28.8">
      <c r="C135" s="32" t="s">
        <v>406</v>
      </c>
      <c r="D135" s="31" t="s">
        <v>560</v>
      </c>
      <c r="E135" s="62">
        <v>130</v>
      </c>
      <c r="F135" s="32" t="str">
        <f>IF(D135="","",VLOOKUP(D135,Preços!B:C,2,FALSE))</f>
        <v>ÁGUA POTÁVEL (CAMINHÃO PIPA PARA ENCHIMENTO)</v>
      </c>
      <c r="G135" s="20">
        <f>IF(D135="","",VLOOKUP(D135,Preços!B:M,9,FALSE))</f>
        <v>0</v>
      </c>
      <c r="H135" s="20">
        <f>IF(D135="","",VLOOKUP(D135,Preços!B:M,8,FALSE))</f>
        <v>12540</v>
      </c>
      <c r="I135" s="20">
        <f>H135*BDI_SERVIÇOS_MATERIAIS!$E$11</f>
        <v>3655.7651299122645</v>
      </c>
      <c r="J135" s="20">
        <f>BDI_SERVIÇOS_MATERIAIS!$E$11*G135</f>
        <v>0</v>
      </c>
      <c r="K135" s="20">
        <f>G135+H135+I135+J135</f>
        <v>16195.765129912264</v>
      </c>
      <c r="L135" s="33">
        <v>48</v>
      </c>
      <c r="M135" s="22">
        <v>1</v>
      </c>
      <c r="N135" s="22">
        <f t="shared" si="35"/>
        <v>6</v>
      </c>
      <c r="O135" s="22">
        <f t="shared" ref="O135" si="41">N135/5</f>
        <v>1.2</v>
      </c>
      <c r="P135" s="33">
        <f>P134+O135</f>
        <v>19.8</v>
      </c>
      <c r="Q135" s="33"/>
      <c r="R135" s="33"/>
      <c r="S135" s="33"/>
      <c r="T135" s="33"/>
      <c r="U135" s="33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1">
        <f>K135</f>
        <v>16195.765129912264</v>
      </c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0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</row>
    <row r="136" spans="3:102" ht="43.2">
      <c r="C136" s="32" t="s">
        <v>394</v>
      </c>
      <c r="D136" s="31" t="s">
        <v>99</v>
      </c>
      <c r="E136" s="62">
        <v>131</v>
      </c>
      <c r="F136" s="32" t="str">
        <f>IF(D136="","",VLOOKUP(D136,Preços!B:C,2,FALSE))</f>
        <v>TUBO AÇO  COM COSTURA, NBR 5590, SCH 40, DN = 200MM -FORNCECIMENTO E INSTALAÇÃO</v>
      </c>
      <c r="G136" s="20">
        <f>Preços!J251</f>
        <v>44085.691999999995</v>
      </c>
      <c r="H136" s="20">
        <f>Preços!I250</f>
        <v>4513.4207999999999</v>
      </c>
      <c r="I136" s="20">
        <f>H136*BDI_SERVIÇOS_MATERIAIS!$E$11</f>
        <v>1315.7899822376967</v>
      </c>
      <c r="J136" s="20">
        <f>BDI_SERVIÇOS_MATERIAIS!$E$11*G136</f>
        <v>12852.2277146453</v>
      </c>
      <c r="K136" s="20">
        <f t="shared" si="0"/>
        <v>62767.130496882994</v>
      </c>
      <c r="L136" s="33">
        <v>175</v>
      </c>
      <c r="M136" s="22">
        <v>2</v>
      </c>
      <c r="N136" s="22">
        <f t="shared" si="2"/>
        <v>11</v>
      </c>
      <c r="O136" s="22">
        <f t="shared" si="1"/>
        <v>2.2000000000000002</v>
      </c>
      <c r="P136" s="33">
        <f>P16+O136</f>
        <v>17.2</v>
      </c>
      <c r="Q136" s="33"/>
      <c r="R136" s="33"/>
      <c r="S136" s="33"/>
      <c r="T136" s="33"/>
      <c r="U136" s="33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66"/>
      <c r="AH136" s="21">
        <f>K136</f>
        <v>62767.130496882994</v>
      </c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</row>
    <row r="137" spans="3:102" ht="57.6">
      <c r="C137" s="32" t="s">
        <v>394</v>
      </c>
      <c r="D137" s="31" t="s">
        <v>100</v>
      </c>
      <c r="E137" s="62">
        <v>132</v>
      </c>
      <c r="F137" s="32" t="str">
        <f>IF(D137="","",VLOOKUP(D137,Preços!B:C,2,FALSE))</f>
        <v>CURVA 90 GRAUS EM ACO GALVANIZADO , RAIO CURTO, SOLDAVEL, PRESSAO 3.000 LBS, DN 8" -FORNCECIMENTO E INSTALAÇÃO</v>
      </c>
      <c r="G137" s="20">
        <f>Preços!J255</f>
        <v>2037</v>
      </c>
      <c r="H137" s="20">
        <f>Preços!I254</f>
        <v>378.28</v>
      </c>
      <c r="I137" s="20">
        <f>H137*BDI_SERVIÇOS_MATERIAIS!$E$11</f>
        <v>110.27933280248894</v>
      </c>
      <c r="J137" s="20">
        <f>BDI_SERVIÇOS_MATERIAIS!$E$11*G137</f>
        <v>593.84318737091564</v>
      </c>
      <c r="K137" s="20">
        <f t="shared" si="0"/>
        <v>3119.4025201734044</v>
      </c>
      <c r="L137" s="33">
        <v>30</v>
      </c>
      <c r="M137" s="22">
        <v>2</v>
      </c>
      <c r="N137" s="22">
        <f t="shared" si="2"/>
        <v>2</v>
      </c>
      <c r="O137" s="22">
        <f t="shared" si="1"/>
        <v>0.4</v>
      </c>
      <c r="P137" s="33">
        <f>O137+P136</f>
        <v>17.599999999999998</v>
      </c>
      <c r="Q137" s="33"/>
      <c r="R137" s="33"/>
      <c r="S137" s="33"/>
      <c r="T137" s="33"/>
      <c r="U137" s="33"/>
      <c r="V137" s="29"/>
      <c r="W137" s="29"/>
      <c r="X137" s="29"/>
      <c r="Y137" s="29"/>
      <c r="Z137" s="29"/>
      <c r="AA137" s="29"/>
      <c r="AB137" s="29"/>
      <c r="AC137" s="29"/>
      <c r="AD137" s="29"/>
      <c r="AE137" s="20"/>
      <c r="AG137" s="29"/>
      <c r="AH137" s="21">
        <f>K137</f>
        <v>3119.4025201734044</v>
      </c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</row>
    <row r="138" spans="3:102" ht="28.8">
      <c r="C138" s="32" t="s">
        <v>394</v>
      </c>
      <c r="D138" s="31" t="s">
        <v>101</v>
      </c>
      <c r="E138" s="62">
        <v>133</v>
      </c>
      <c r="F138" s="32" t="str">
        <f>IF(D138="","",VLOOKUP(D138,Preços!B:C,2,FALSE))</f>
        <v>TE 90 GRAUS EM ACO ,  DN 8"-FORNCECIMENTO E INSTALAÇÃO</v>
      </c>
      <c r="G138" s="20">
        <f>Preços!J259</f>
        <v>2000.252</v>
      </c>
      <c r="H138" s="20">
        <f>Preços!I258</f>
        <v>216.16</v>
      </c>
      <c r="I138" s="20">
        <f>H138*BDI_SERVIÇOS_MATERIAIS!$E$11</f>
        <v>63.016761601422253</v>
      </c>
      <c r="J138" s="20">
        <f>BDI_SERVIÇOS_MATERIAIS!$E$11*G138</f>
        <v>583.13010467601805</v>
      </c>
      <c r="K138" s="20">
        <f t="shared" si="0"/>
        <v>2862.5588662774403</v>
      </c>
      <c r="L138" s="33">
        <v>15</v>
      </c>
      <c r="M138" s="22">
        <v>2</v>
      </c>
      <c r="N138" s="22">
        <f t="shared" si="2"/>
        <v>1</v>
      </c>
      <c r="O138" s="22">
        <f t="shared" si="1"/>
        <v>0.2</v>
      </c>
      <c r="P138" s="33">
        <f>O138+P137</f>
        <v>17.799999999999997</v>
      </c>
      <c r="Q138" s="33"/>
      <c r="R138" s="33"/>
      <c r="S138" s="33"/>
      <c r="T138" s="33"/>
      <c r="U138" s="33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1">
        <f>K138</f>
        <v>2862.5588662774403</v>
      </c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</row>
    <row r="139" spans="3:102" ht="43.2">
      <c r="C139" s="32" t="s">
        <v>394</v>
      </c>
      <c r="D139" s="31" t="s">
        <v>102</v>
      </c>
      <c r="E139" s="62">
        <v>134</v>
      </c>
      <c r="F139" s="32" t="str">
        <f>IF(D139="","",VLOOKUP(D139,Preços!B:C,2,FALSE))</f>
        <v>VALVULA DE GOVERNO FLANG 4'' - COMPL - NBR-FORNCECIMENTO E INSTALAÇÃO</v>
      </c>
      <c r="G139" s="20">
        <f>Preços!J263</f>
        <v>14238.78</v>
      </c>
      <c r="H139" s="20">
        <f>Preços!I262</f>
        <v>432.32</v>
      </c>
      <c r="I139" s="20">
        <f>H139*BDI_SERVIÇOS_MATERIAIS!$E$11</f>
        <v>126.03352320284451</v>
      </c>
      <c r="J139" s="20">
        <f>BDI_SERVIÇOS_MATERIAIS!$E$11*G139</f>
        <v>4151.0076089706663</v>
      </c>
      <c r="K139" s="20">
        <f t="shared" si="0"/>
        <v>18948.14113217351</v>
      </c>
      <c r="L139" s="33">
        <v>15</v>
      </c>
      <c r="M139" s="22">
        <v>1</v>
      </c>
      <c r="N139" s="22">
        <f t="shared" si="2"/>
        <v>2</v>
      </c>
      <c r="O139" s="22">
        <f t="shared" si="1"/>
        <v>0.4</v>
      </c>
      <c r="P139" s="33">
        <f t="shared" si="3"/>
        <v>18.199999999999996</v>
      </c>
      <c r="Q139" s="33"/>
      <c r="R139" s="33"/>
      <c r="S139" s="33"/>
      <c r="T139" s="33"/>
      <c r="U139" s="33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1">
        <f>K139</f>
        <v>18948.14113217351</v>
      </c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</row>
    <row r="140" spans="3:102" ht="43.2">
      <c r="C140" s="32" t="s">
        <v>394</v>
      </c>
      <c r="D140" s="31" t="s">
        <v>103</v>
      </c>
      <c r="E140" s="62">
        <v>135</v>
      </c>
      <c r="F140" s="32" t="str">
        <f>IF(D140="","",VLOOKUP(D140,Preços!B:C,2,FALSE))</f>
        <v>VALVULA BORBOLETA FLANGEADA C/ CAIXA RED. 4'' -FORNCECIMENTO E INSTALAÇÃO</v>
      </c>
      <c r="G140" s="20">
        <f>Preços!J267</f>
        <v>2820</v>
      </c>
      <c r="H140" s="20">
        <f>Preços!I266</f>
        <v>216.16</v>
      </c>
      <c r="I140" s="20">
        <f>H140*BDI_SERVIÇOS_MATERIAIS!$E$11</f>
        <v>63.016761601422253</v>
      </c>
      <c r="J140" s="20">
        <f>BDI_SERVIÇOS_MATERIAIS!$E$11*G140</f>
        <v>822.10986175060486</v>
      </c>
      <c r="K140" s="20">
        <f t="shared" si="0"/>
        <v>3921.2866233520272</v>
      </c>
      <c r="L140" s="33">
        <v>4</v>
      </c>
      <c r="M140" s="22">
        <v>1</v>
      </c>
      <c r="N140" s="22">
        <f t="shared" si="2"/>
        <v>1</v>
      </c>
      <c r="O140" s="22">
        <f t="shared" si="1"/>
        <v>0.2</v>
      </c>
      <c r="P140" s="33">
        <f t="shared" si="3"/>
        <v>18.399999999999995</v>
      </c>
      <c r="Q140" s="33"/>
      <c r="R140" s="33"/>
      <c r="S140" s="33"/>
      <c r="T140" s="33"/>
      <c r="U140" s="33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1">
        <f>K140</f>
        <v>3921.2866233520272</v>
      </c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</row>
    <row r="141" spans="3:102" ht="43.2">
      <c r="C141" s="32" t="s">
        <v>394</v>
      </c>
      <c r="D141" s="31" t="s">
        <v>104</v>
      </c>
      <c r="E141" s="62">
        <v>136</v>
      </c>
      <c r="F141" s="32" t="str">
        <f>IF(D141="","",VLOOKUP(D141,Preços!B:C,2,FALSE))</f>
        <v>VALVULA DE GOVERNO FLANG 6'' - COMPL - NBR-FORNCECIMENTO E INSTALAÇÃO</v>
      </c>
      <c r="G141" s="20">
        <f>Preços!J271</f>
        <v>5636.19</v>
      </c>
      <c r="H141" s="20">
        <f>Preços!I270</f>
        <v>432.32</v>
      </c>
      <c r="I141" s="20">
        <f>H141*BDI_SERVIÇOS_MATERIAIS!$E$11</f>
        <v>126.03352320284451</v>
      </c>
      <c r="J141" s="20">
        <f>BDI_SERVIÇOS_MATERIAIS!$E$11*G141</f>
        <v>1643.1090006028871</v>
      </c>
      <c r="K141" s="20">
        <f t="shared" si="0"/>
        <v>7837.6525238057311</v>
      </c>
      <c r="L141" s="33">
        <v>15</v>
      </c>
      <c r="M141" s="22">
        <v>1</v>
      </c>
      <c r="N141" s="22">
        <f t="shared" si="2"/>
        <v>2</v>
      </c>
      <c r="O141" s="22">
        <f t="shared" si="1"/>
        <v>0.4</v>
      </c>
      <c r="P141" s="33">
        <f t="shared" si="3"/>
        <v>18.799999999999994</v>
      </c>
      <c r="Q141" s="33"/>
      <c r="R141" s="33"/>
      <c r="S141" s="33"/>
      <c r="T141" s="33"/>
      <c r="U141" s="33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F141" s="29"/>
      <c r="AG141" s="29"/>
      <c r="AH141" s="29"/>
      <c r="AI141" s="21">
        <f>K141</f>
        <v>7837.6525238057311</v>
      </c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</row>
    <row r="142" spans="3:102" ht="43.2">
      <c r="C142" s="32" t="s">
        <v>394</v>
      </c>
      <c r="D142" s="31" t="s">
        <v>105</v>
      </c>
      <c r="E142" s="62">
        <v>137</v>
      </c>
      <c r="F142" s="32" t="str">
        <f>IF(D142="","",VLOOKUP(D142,Preços!B:C,2,FALSE))</f>
        <v>VALVULA BORBOLETA FLANGEADA C/ CAIXA RED. 6'' -CL 150-FORNCECIMENTO E INSTALAÇÃO</v>
      </c>
      <c r="G142" s="20">
        <f>Preços!J275</f>
        <v>1332.96</v>
      </c>
      <c r="H142" s="20">
        <f>Preços!I274</f>
        <v>216.16</v>
      </c>
      <c r="I142" s="20">
        <f>H142*BDI_SERVIÇOS_MATERIAIS!$E$11</f>
        <v>63.016761601422253</v>
      </c>
      <c r="J142" s="20">
        <f>BDI_SERVIÇOS_MATERIAIS!$E$11*G142</f>
        <v>388.5955891202434</v>
      </c>
      <c r="K142" s="20">
        <f t="shared" si="0"/>
        <v>2000.7323507216659</v>
      </c>
      <c r="L142" s="33">
        <v>8</v>
      </c>
      <c r="M142" s="22">
        <v>1</v>
      </c>
      <c r="N142" s="22">
        <f t="shared" si="2"/>
        <v>1</v>
      </c>
      <c r="O142" s="22">
        <f t="shared" si="1"/>
        <v>0.2</v>
      </c>
      <c r="P142" s="33">
        <f t="shared" si="3"/>
        <v>18.999999999999993</v>
      </c>
      <c r="Q142" s="33"/>
      <c r="R142" s="33"/>
      <c r="S142" s="33"/>
      <c r="T142" s="33"/>
      <c r="U142" s="33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F142" s="29"/>
      <c r="AG142" s="29"/>
      <c r="AH142" s="29"/>
      <c r="AI142" s="21">
        <f>K142</f>
        <v>2000.7323507216659</v>
      </c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</row>
    <row r="143" spans="3:102" ht="43.2">
      <c r="C143" s="32" t="s">
        <v>379</v>
      </c>
      <c r="D143" s="31" t="s">
        <v>80</v>
      </c>
      <c r="E143" s="62">
        <v>138</v>
      </c>
      <c r="F143" s="32" t="str">
        <f>IF(D143="","",VLOOKUP(D143,Preços!B:C,2,FALSE))</f>
        <v>Bomba jockey vazão 20 L/min (1,20m³/h) e pressão 104 mca-FORNCECIMENTO E INSTALAÇÃO</v>
      </c>
      <c r="G143" s="20">
        <f>Preços!J281</f>
        <v>5900</v>
      </c>
      <c r="H143" s="20">
        <f>Preços!I280</f>
        <v>432.32</v>
      </c>
      <c r="I143" s="20">
        <f>H143*BDI_SERVIÇOS_MATERIAIS!$E$11</f>
        <v>126.03352320284451</v>
      </c>
      <c r="J143" s="20">
        <f>BDI_SERVIÇOS_MATERIAIS!$E$11*G143</f>
        <v>1720.0170866413364</v>
      </c>
      <c r="K143" s="20">
        <f t="shared" si="0"/>
        <v>8178.3706098441808</v>
      </c>
      <c r="L143" s="33">
        <v>8</v>
      </c>
      <c r="M143" s="22">
        <v>1</v>
      </c>
      <c r="N143" s="22">
        <f t="shared" si="2"/>
        <v>1</v>
      </c>
      <c r="O143" s="22">
        <f t="shared" si="1"/>
        <v>0.2</v>
      </c>
      <c r="P143" s="33">
        <f t="shared" si="3"/>
        <v>19.199999999999992</v>
      </c>
      <c r="Q143" s="33"/>
      <c r="R143" s="33"/>
      <c r="S143" s="33"/>
      <c r="T143" s="33"/>
      <c r="U143" s="33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F143" s="29"/>
      <c r="AG143" s="29"/>
      <c r="AH143" s="29"/>
      <c r="AI143" s="29"/>
      <c r="AJ143" s="21">
        <f>K143</f>
        <v>8178.3706098441808</v>
      </c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</row>
    <row r="144" spans="3:102" ht="43.2">
      <c r="C144" s="32" t="s">
        <v>379</v>
      </c>
      <c r="D144" s="31" t="s">
        <v>106</v>
      </c>
      <c r="E144" s="62">
        <v>139</v>
      </c>
      <c r="F144" s="32" t="str">
        <f>IF(D144="","",VLOOKUP(D144,Preços!B:C,2,FALSE))</f>
        <v>Bomba jockey vazão 20 L/min (1,20m³/h) e pressão 94 mca-FORNCECIMENTO E INSTALAÇÃO</v>
      </c>
      <c r="G144" s="704">
        <f>SUM(Preços!J284:J289)</f>
        <v>150300</v>
      </c>
      <c r="H144" s="707">
        <f>SUM(Preços!I284:I289)</f>
        <v>0</v>
      </c>
      <c r="I144" s="20">
        <v>0</v>
      </c>
      <c r="J144" s="707">
        <f>BDI_SERVIÇOS_MATERIAIS!$E$11*G144</f>
        <v>43816.706461388625</v>
      </c>
      <c r="K144" s="707">
        <f>G144+J144</f>
        <v>194116.70646138862</v>
      </c>
      <c r="L144" s="33">
        <v>8</v>
      </c>
      <c r="M144" s="22">
        <v>1</v>
      </c>
      <c r="N144" s="22">
        <f t="shared" si="2"/>
        <v>1</v>
      </c>
      <c r="O144" s="22">
        <f t="shared" si="1"/>
        <v>0.2</v>
      </c>
      <c r="P144" s="33">
        <f t="shared" si="3"/>
        <v>19.399999999999991</v>
      </c>
      <c r="Q144" s="33"/>
      <c r="R144" s="33"/>
      <c r="S144" s="33"/>
      <c r="T144" s="33"/>
      <c r="U144" s="33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1">
        <v>0</v>
      </c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</row>
    <row r="145" spans="3:102" ht="28.8">
      <c r="C145" s="32" t="s">
        <v>379</v>
      </c>
      <c r="D145" s="31" t="s">
        <v>81</v>
      </c>
      <c r="E145" s="62">
        <v>140</v>
      </c>
      <c r="F145" s="32" t="str">
        <f>IF(D145="","",VLOOKUP(D145,Preços!B:C,2,FALSE))</f>
        <v>Bomba diesel vazão 328m³/h e pressão 84 mca - SPK</v>
      </c>
      <c r="G145" s="705"/>
      <c r="H145" s="708"/>
      <c r="I145" s="20">
        <f>H145*BDI_SERVIÇOS_MATERIAIS!$E$11</f>
        <v>0</v>
      </c>
      <c r="J145" s="708"/>
      <c r="K145" s="708"/>
      <c r="L145" s="33">
        <v>40</v>
      </c>
      <c r="M145" s="22">
        <v>1</v>
      </c>
      <c r="N145" s="22">
        <f t="shared" si="2"/>
        <v>5</v>
      </c>
      <c r="O145" s="22">
        <f t="shared" si="1"/>
        <v>1</v>
      </c>
      <c r="P145" s="33">
        <f t="shared" si="3"/>
        <v>20.399999999999991</v>
      </c>
      <c r="Q145" s="33"/>
      <c r="R145" s="33"/>
      <c r="S145" s="33"/>
      <c r="T145" s="33"/>
      <c r="U145" s="33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F145" s="29"/>
      <c r="AG145" s="29"/>
      <c r="AH145" s="29"/>
      <c r="AI145" s="29"/>
      <c r="AJ145" s="29"/>
      <c r="AK145" s="21">
        <f>K145</f>
        <v>0</v>
      </c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</row>
    <row r="146" spans="3:102">
      <c r="C146" s="32" t="s">
        <v>379</v>
      </c>
      <c r="D146" s="31" t="s">
        <v>82</v>
      </c>
      <c r="E146" s="62">
        <v>141</v>
      </c>
      <c r="F146" s="32" t="str">
        <f>IF(D146="","",VLOOKUP(D146,Preços!B:C,2,FALSE))</f>
        <v xml:space="preserve">TANQUE ÓLEO DIESEL </v>
      </c>
      <c r="G146" s="705"/>
      <c r="H146" s="708"/>
      <c r="I146" s="20">
        <f>H146*BDI_SERVIÇOS_MATERIAIS!$E$11</f>
        <v>0</v>
      </c>
      <c r="J146" s="708"/>
      <c r="K146" s="708"/>
      <c r="L146" s="33">
        <v>6</v>
      </c>
      <c r="M146" s="22">
        <v>1</v>
      </c>
      <c r="N146" s="22">
        <f t="shared" si="2"/>
        <v>1</v>
      </c>
      <c r="O146" s="22">
        <f t="shared" si="1"/>
        <v>0.2</v>
      </c>
      <c r="P146" s="33">
        <f t="shared" si="3"/>
        <v>20.599999999999991</v>
      </c>
      <c r="Q146" s="33"/>
      <c r="R146" s="33"/>
      <c r="S146" s="33"/>
      <c r="T146" s="33"/>
      <c r="U146" s="33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F146" s="29"/>
      <c r="AG146" s="29"/>
      <c r="AH146" s="29"/>
      <c r="AI146" s="29"/>
      <c r="AJ146" s="29"/>
      <c r="AK146" s="21">
        <f>K146</f>
        <v>0</v>
      </c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</row>
    <row r="147" spans="3:102" ht="28.8">
      <c r="C147" s="32" t="s">
        <v>379</v>
      </c>
      <c r="D147" s="31" t="s">
        <v>83</v>
      </c>
      <c r="E147" s="62">
        <v>142</v>
      </c>
      <c r="F147" s="32" t="str">
        <f>IF(D147="","",VLOOKUP(D147,Preços!B:C,2,FALSE))</f>
        <v xml:space="preserve">VALVULA DE ALIVIO 3/4"  ARREFECIMENTO DAS BOMBAS </v>
      </c>
      <c r="G147" s="705"/>
      <c r="H147" s="708"/>
      <c r="I147" s="20">
        <f>H147*BDI_SERVIÇOS_MATERIAIS!$E$11</f>
        <v>0</v>
      </c>
      <c r="J147" s="708"/>
      <c r="K147" s="708"/>
      <c r="L147" s="33">
        <v>8</v>
      </c>
      <c r="M147" s="22">
        <v>1</v>
      </c>
      <c r="N147" s="22">
        <f t="shared" si="2"/>
        <v>1</v>
      </c>
      <c r="O147" s="22">
        <f t="shared" si="1"/>
        <v>0.2</v>
      </c>
      <c r="P147" s="33">
        <f t="shared" si="3"/>
        <v>20.79999999999999</v>
      </c>
      <c r="Q147" s="33"/>
      <c r="R147" s="33"/>
      <c r="S147" s="33"/>
      <c r="T147" s="33"/>
      <c r="U147" s="33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F147" s="29"/>
      <c r="AG147" s="29"/>
      <c r="AH147" s="29"/>
      <c r="AI147" s="29"/>
      <c r="AJ147" s="29"/>
      <c r="AK147" s="21">
        <f>K147</f>
        <v>0</v>
      </c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</row>
    <row r="148" spans="3:102" ht="28.8">
      <c r="C148" s="32" t="s">
        <v>379</v>
      </c>
      <c r="D148" s="31" t="s">
        <v>107</v>
      </c>
      <c r="E148" s="62">
        <v>143</v>
      </c>
      <c r="F148" s="32" t="str">
        <f>IF(D148="","",VLOOKUP(D148,Preços!B:C,2,FALSE))</f>
        <v xml:space="preserve">PAINEL CONTROLADOR DA BOMBA PRINCIPAL </v>
      </c>
      <c r="G148" s="705"/>
      <c r="H148" s="708"/>
      <c r="I148" s="20">
        <f>H148*BDI_SERVIÇOS_MATERIAIS!$E$11</f>
        <v>0</v>
      </c>
      <c r="J148" s="708"/>
      <c r="K148" s="708"/>
      <c r="L148" s="33">
        <v>8</v>
      </c>
      <c r="M148" s="22">
        <v>1</v>
      </c>
      <c r="N148" s="22">
        <f t="shared" si="2"/>
        <v>1</v>
      </c>
      <c r="O148" s="22">
        <f t="shared" si="1"/>
        <v>0.2</v>
      </c>
      <c r="P148" s="33">
        <f t="shared" si="3"/>
        <v>20.999999999999989</v>
      </c>
      <c r="Q148" s="33"/>
      <c r="R148" s="33"/>
      <c r="S148" s="33"/>
      <c r="T148" s="33"/>
      <c r="U148" s="33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1">
        <f>K148</f>
        <v>0</v>
      </c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</row>
    <row r="149" spans="3:102">
      <c r="C149" s="61" t="s">
        <v>379</v>
      </c>
      <c r="D149" s="31" t="s">
        <v>108</v>
      </c>
      <c r="E149" s="62">
        <v>144</v>
      </c>
      <c r="F149" s="32" t="str">
        <f>IF(D149="","",VLOOKUP(D149,Preços!B:C,2,FALSE))</f>
        <v>PAINEL CONTROLADOR BOMBA JOCKEY</v>
      </c>
      <c r="G149" s="706"/>
      <c r="H149" s="709"/>
      <c r="I149" s="20">
        <f>H149*BDI_SERVIÇOS_MATERIAIS!$E$11</f>
        <v>0</v>
      </c>
      <c r="J149" s="709"/>
      <c r="K149" s="709"/>
      <c r="L149" s="33">
        <v>2</v>
      </c>
      <c r="M149" s="22">
        <v>1</v>
      </c>
      <c r="N149" s="22">
        <f t="shared" si="2"/>
        <v>1</v>
      </c>
      <c r="O149" s="22">
        <f t="shared" si="1"/>
        <v>0.2</v>
      </c>
      <c r="P149" s="33">
        <f t="shared" si="3"/>
        <v>21.199999999999989</v>
      </c>
      <c r="Q149" s="33"/>
      <c r="R149" s="33"/>
      <c r="S149" s="33"/>
      <c r="T149" s="33"/>
      <c r="U149" s="33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1">
        <f>K144</f>
        <v>194116.70646138862</v>
      </c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</row>
    <row r="150" spans="3:102">
      <c r="C150" s="61" t="s">
        <v>379</v>
      </c>
      <c r="D150" s="31" t="s">
        <v>109</v>
      </c>
      <c r="E150" s="62">
        <v>145</v>
      </c>
      <c r="F150" s="32" t="str">
        <f>IF(D150="","",VLOOKUP(D150,Preços!B:C,2,FALSE))</f>
        <v>WasteCone 6"x8"</v>
      </c>
      <c r="G150" s="20">
        <f>Preços!J291</f>
        <v>4250</v>
      </c>
      <c r="H150" s="20">
        <f>Preços!I290</f>
        <v>108.08</v>
      </c>
      <c r="I150" s="20">
        <f>H150*BDI_SERVIÇOS_MATERIAIS!$E$11</f>
        <v>31.508380800711127</v>
      </c>
      <c r="J150" s="20">
        <f>BDI_SERVIÇOS_MATERIAIS!$E$11*G150</f>
        <v>1238.9953590213017</v>
      </c>
      <c r="K150" s="26">
        <f t="shared" si="0"/>
        <v>5628.5837398220128</v>
      </c>
      <c r="L150" s="33">
        <v>2</v>
      </c>
      <c r="M150" s="22">
        <v>1</v>
      </c>
      <c r="N150" s="22">
        <f t="shared" si="2"/>
        <v>1</v>
      </c>
      <c r="O150" s="22">
        <f t="shared" si="1"/>
        <v>0.2</v>
      </c>
      <c r="P150" s="33">
        <f t="shared" si="3"/>
        <v>21.399999999999988</v>
      </c>
      <c r="Q150" s="33"/>
      <c r="R150" s="33"/>
      <c r="S150" s="33"/>
      <c r="T150" s="33"/>
      <c r="U150" s="33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1">
        <f>K150</f>
        <v>5628.5837398220128</v>
      </c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</row>
    <row r="151" spans="3:102" ht="43.2">
      <c r="C151" s="61" t="s">
        <v>379</v>
      </c>
      <c r="D151" s="31" t="s">
        <v>110</v>
      </c>
      <c r="E151" s="62">
        <v>146</v>
      </c>
      <c r="F151" s="32" t="str">
        <f>IF(D151="","",VLOOKUP(D151,Preços!B:C,2,FALSE))</f>
        <v>Bomba elétrica vazão 110m³/h pressão 94mca- hidrantes -FORNCECIMENTO E INSTALAÇÃO</v>
      </c>
      <c r="G151" s="20">
        <f>Preços!J294</f>
        <v>0</v>
      </c>
      <c r="H151" s="20">
        <f>0.3*G151</f>
        <v>0</v>
      </c>
      <c r="I151" s="20">
        <f>H151*BDI_SERVIÇOS_MATERIAIS!$E$11</f>
        <v>0</v>
      </c>
      <c r="J151" s="20">
        <f>BDI_SERVIÇOS_MATERIAIS!$E$11*G151</f>
        <v>0</v>
      </c>
      <c r="K151" s="26">
        <f t="shared" si="0"/>
        <v>0</v>
      </c>
      <c r="L151" s="33">
        <v>2</v>
      </c>
      <c r="M151" s="22">
        <v>1</v>
      </c>
      <c r="N151" s="22">
        <f t="shared" si="2"/>
        <v>1</v>
      </c>
      <c r="O151" s="22">
        <f t="shared" si="1"/>
        <v>0.2</v>
      </c>
      <c r="P151" s="33">
        <f t="shared" si="3"/>
        <v>21.599999999999987</v>
      </c>
      <c r="Q151" s="33"/>
      <c r="R151" s="33"/>
      <c r="S151" s="33"/>
      <c r="T151" s="33"/>
      <c r="U151" s="33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1">
        <f>K151</f>
        <v>0</v>
      </c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</row>
    <row r="152" spans="3:102">
      <c r="C152" s="61" t="s">
        <v>379</v>
      </c>
      <c r="D152" s="31" t="s">
        <v>111</v>
      </c>
      <c r="E152" s="62">
        <v>147</v>
      </c>
      <c r="F152" s="32" t="str">
        <f>IF(D152="","",VLOOKUP(D152,Preços!B:C,2,FALSE))</f>
        <v>JUNTA DE EXPANSÃO 8"</v>
      </c>
      <c r="G152" s="20">
        <f>Preços!J296</f>
        <v>1343.7</v>
      </c>
      <c r="H152" s="20">
        <f>Preços!I295</f>
        <v>108.08</v>
      </c>
      <c r="I152" s="20">
        <f>H152*BDI_SERVIÇOS_MATERIAIS!$E$11</f>
        <v>31.508380800711127</v>
      </c>
      <c r="J152" s="20">
        <f>BDI_SERVIÇOS_MATERIAIS!$E$11*G152</f>
        <v>391.72660327457015</v>
      </c>
      <c r="K152" s="26">
        <f t="shared" si="0"/>
        <v>1875.0149840752813</v>
      </c>
      <c r="L152" s="33">
        <v>2</v>
      </c>
      <c r="M152" s="22">
        <v>1</v>
      </c>
      <c r="N152" s="22">
        <f t="shared" si="2"/>
        <v>1</v>
      </c>
      <c r="O152" s="22">
        <f t="shared" si="1"/>
        <v>0.2</v>
      </c>
      <c r="P152" s="33">
        <f t="shared" si="3"/>
        <v>21.799999999999986</v>
      </c>
      <c r="Q152" s="33"/>
      <c r="R152" s="33"/>
      <c r="S152" s="33"/>
      <c r="T152" s="33"/>
      <c r="U152" s="33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1">
        <f>K152</f>
        <v>1875.0149840752813</v>
      </c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</row>
    <row r="153" spans="3:102">
      <c r="C153" s="61" t="s">
        <v>379</v>
      </c>
      <c r="D153" s="31" t="s">
        <v>112</v>
      </c>
      <c r="E153" s="62">
        <v>148</v>
      </c>
      <c r="F153" s="32" t="str">
        <f>IF(D153="","",VLOOKUP(D153,Preços!B:C,2,FALSE))</f>
        <v xml:space="preserve">PLACA ANTIVORTICE 120mm x 120mm </v>
      </c>
      <c r="G153" s="20">
        <f>Preços!J299</f>
        <v>661.49954166666669</v>
      </c>
      <c r="H153" s="20">
        <f>Preços!I299</f>
        <v>104.64</v>
      </c>
      <c r="I153" s="20">
        <f>H153*BDI_SERVIÇOS_MATERIAIS!$E$11</f>
        <v>30.505523380703298</v>
      </c>
      <c r="J153" s="20">
        <f>BDI_SERVIÇOS_MATERIAIS!$E$11*G153</f>
        <v>192.84584991052193</v>
      </c>
      <c r="K153" s="26">
        <f t="shared" si="0"/>
        <v>989.49091495789185</v>
      </c>
      <c r="L153" s="33">
        <v>8</v>
      </c>
      <c r="M153" s="22">
        <v>1</v>
      </c>
      <c r="N153" s="22">
        <f t="shared" si="2"/>
        <v>1</v>
      </c>
      <c r="O153" s="22">
        <f t="shared" si="1"/>
        <v>0.2</v>
      </c>
      <c r="P153" s="33">
        <f t="shared" si="3"/>
        <v>21.999999999999986</v>
      </c>
      <c r="Q153" s="33"/>
      <c r="R153" s="33"/>
      <c r="S153" s="33"/>
      <c r="T153" s="33"/>
      <c r="U153" s="33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1">
        <f>K153</f>
        <v>989.49091495789185</v>
      </c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</row>
    <row r="154" spans="3:102">
      <c r="C154" s="61" t="s">
        <v>379</v>
      </c>
      <c r="D154" s="31" t="s">
        <v>113</v>
      </c>
      <c r="E154" s="62">
        <v>149</v>
      </c>
      <c r="F154" s="32" t="str">
        <f>IF(D154="","",VLOOKUP(D154,Preços!B:C,2,FALSE))</f>
        <v xml:space="preserve">VALVULA DE ALÍVIO 6" </v>
      </c>
      <c r="G154" s="20">
        <f>Preços!J305</f>
        <v>14100</v>
      </c>
      <c r="H154" s="20">
        <f>Preços!I304</f>
        <v>216.16</v>
      </c>
      <c r="I154" s="20">
        <f>H154*BDI_SERVIÇOS_MATERIAIS!$E$11</f>
        <v>63.016761601422253</v>
      </c>
      <c r="J154" s="20">
        <f>BDI_SERVIÇOS_MATERIAIS!$E$11*G154</f>
        <v>4110.5493087530249</v>
      </c>
      <c r="K154" s="26">
        <f t="shared" si="0"/>
        <v>18489.726070354445</v>
      </c>
      <c r="L154" s="33">
        <v>4</v>
      </c>
      <c r="M154" s="22">
        <v>1</v>
      </c>
      <c r="N154" s="22">
        <f t="shared" si="2"/>
        <v>1</v>
      </c>
      <c r="O154" s="22">
        <f t="shared" si="1"/>
        <v>0.2</v>
      </c>
      <c r="P154" s="33">
        <f t="shared" si="3"/>
        <v>22.199999999999985</v>
      </c>
      <c r="Q154" s="33"/>
      <c r="R154" s="33"/>
      <c r="S154" s="33"/>
      <c r="T154" s="33"/>
      <c r="U154" s="33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1">
        <f>K154</f>
        <v>18489.726070354445</v>
      </c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</row>
    <row r="155" spans="3:102">
      <c r="C155" s="61" t="s">
        <v>379</v>
      </c>
      <c r="D155" s="31" t="s">
        <v>114</v>
      </c>
      <c r="E155" s="62">
        <v>150</v>
      </c>
      <c r="F155" s="32" t="str">
        <f>IF(D155="","",VLOOKUP(D155,Preços!B:C,2,FALSE))</f>
        <v>MEDIDO DE VAZÃO (FLOW METER) 8"</v>
      </c>
      <c r="G155" s="20">
        <f>Preços!J308</f>
        <v>12065.92</v>
      </c>
      <c r="H155" s="20">
        <f>Preços!I308</f>
        <v>432.32</v>
      </c>
      <c r="I155" s="20">
        <f>H155*BDI_SERVIÇOS_MATERIAIS!$E$11</f>
        <v>126.03352320284451</v>
      </c>
      <c r="J155" s="20">
        <f>BDI_SERVIÇOS_MATERIAIS!$E$11*G155</f>
        <v>3517.5573840758366</v>
      </c>
      <c r="K155" s="26">
        <f t="shared" si="0"/>
        <v>16141.830907278681</v>
      </c>
      <c r="L155" s="33">
        <v>8</v>
      </c>
      <c r="M155" s="22">
        <v>1</v>
      </c>
      <c r="N155" s="22">
        <f t="shared" si="2"/>
        <v>1</v>
      </c>
      <c r="O155" s="22">
        <f t="shared" si="1"/>
        <v>0.2</v>
      </c>
      <c r="P155" s="33">
        <f t="shared" si="3"/>
        <v>22.399999999999984</v>
      </c>
      <c r="Q155" s="33"/>
      <c r="R155" s="33"/>
      <c r="S155" s="33"/>
      <c r="T155" s="33"/>
      <c r="U155" s="33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1">
        <f>K155</f>
        <v>16141.830907278681</v>
      </c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</row>
    <row r="156" spans="3:102" ht="57.6">
      <c r="C156" s="61" t="s">
        <v>379</v>
      </c>
      <c r="D156" s="31" t="s">
        <v>115</v>
      </c>
      <c r="E156" s="62">
        <v>151</v>
      </c>
      <c r="F156" s="32" t="str">
        <f>IF(D156="","",VLOOKUP(D156,Preços!B:C,2,FALSE))</f>
        <v>TUBO ACO GALVANIZADO COM COSTURA, CLASSE LEVE, DN 20 MM ( 3/4"),  E = 2,25 MM,  *1,3* KG/M (NBR 5580)</v>
      </c>
      <c r="G156" s="20">
        <f>Preços!J312</f>
        <v>375.12</v>
      </c>
      <c r="H156" s="20">
        <f>Preços!I312</f>
        <v>375.12</v>
      </c>
      <c r="I156" s="20">
        <f>H156*BDI_SERVIÇOS_MATERIAIS!$E$11</f>
        <v>109.35810331201664</v>
      </c>
      <c r="J156" s="20">
        <f>BDI_SERVIÇOS_MATERIAIS!$E$11*G156</f>
        <v>109.35810331201664</v>
      </c>
      <c r="K156" s="26">
        <f t="shared" si="0"/>
        <v>968.95620662403326</v>
      </c>
      <c r="L156" s="33">
        <v>2</v>
      </c>
      <c r="M156" s="22">
        <v>1</v>
      </c>
      <c r="N156" s="22">
        <f t="shared" si="2"/>
        <v>1</v>
      </c>
      <c r="O156" s="22">
        <f t="shared" si="1"/>
        <v>0.2</v>
      </c>
      <c r="P156" s="33">
        <f t="shared" si="3"/>
        <v>22.599999999999984</v>
      </c>
      <c r="Q156" s="33"/>
      <c r="R156" s="33"/>
      <c r="S156" s="33"/>
      <c r="T156" s="33"/>
      <c r="U156" s="33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1">
        <f>K156</f>
        <v>968.95620662403326</v>
      </c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</row>
    <row r="157" spans="3:102" ht="43.2">
      <c r="C157" s="61" t="s">
        <v>379</v>
      </c>
      <c r="D157" s="31" t="s">
        <v>116</v>
      </c>
      <c r="E157" s="62">
        <v>152</v>
      </c>
      <c r="F157" s="32" t="str">
        <f>IF(D157="","",VLOOKUP(D157,Preços!B:C,2,FALSE))</f>
        <v>TUBO AÇO  COM COSTURA, NBR 5590, SCH 40, DN = 200MM -FORNCECIMENTO E INSTALAÇÃO</v>
      </c>
      <c r="G157" s="20">
        <f>Preços!J313</f>
        <v>6162.24</v>
      </c>
      <c r="H157" s="20">
        <f>Preços!I313</f>
        <v>564.17759999999998</v>
      </c>
      <c r="I157" s="20">
        <f>H157*BDI_SERVIÇOS_MATERIAIS!$E$11</f>
        <v>164.47374777971208</v>
      </c>
      <c r="J157" s="20">
        <f>BDI_SERVIÇOS_MATERIAIS!$E$11*G157</f>
        <v>1796.4674732177473</v>
      </c>
      <c r="K157" s="26">
        <f t="shared" si="0"/>
        <v>8687.3588209974587</v>
      </c>
      <c r="L157" s="33">
        <v>24</v>
      </c>
      <c r="M157" s="22">
        <v>1</v>
      </c>
      <c r="N157" s="22">
        <f t="shared" si="2"/>
        <v>3</v>
      </c>
      <c r="O157" s="22">
        <f t="shared" si="1"/>
        <v>0.6</v>
      </c>
      <c r="P157" s="33">
        <f t="shared" si="3"/>
        <v>23.199999999999985</v>
      </c>
      <c r="Q157" s="33"/>
      <c r="R157" s="33"/>
      <c r="S157" s="33"/>
      <c r="T157" s="33"/>
      <c r="U157" s="33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1">
        <f>K157</f>
        <v>8687.3588209974587</v>
      </c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</row>
    <row r="158" spans="3:102" ht="57.6">
      <c r="C158" s="61" t="s">
        <v>379</v>
      </c>
      <c r="D158" s="31" t="s">
        <v>117</v>
      </c>
      <c r="E158" s="62">
        <v>153</v>
      </c>
      <c r="F158" s="32" t="str">
        <f>IF(D158="","",VLOOKUP(D158,Preços!B:C,2,FALSE))</f>
        <v xml:space="preserve">VALVULA GAVETA  OS&amp;Y DIAM 8", HASTE ASCENDENTE, CORPO EM FERRO FUNDIDO, EXTREMIDADES FLANGEADAS ANSI B 16.5, 150 LIBRAS </v>
      </c>
      <c r="G158" s="20">
        <f>Preços!J318</f>
        <v>16491.28</v>
      </c>
      <c r="H158" s="20">
        <f>Preços!I317</f>
        <v>324.24</v>
      </c>
      <c r="I158" s="20">
        <f>H158*BDI_SERVIÇOS_MATERIAIS!$E$11</f>
        <v>94.525142402133383</v>
      </c>
      <c r="J158" s="20">
        <f>BDI_SERVIÇOS_MATERIAIS!$E$11*G158</f>
        <v>4807.6751492519552</v>
      </c>
      <c r="K158" s="26">
        <f t="shared" si="0"/>
        <v>21717.720291654088</v>
      </c>
      <c r="L158" s="33">
        <v>6</v>
      </c>
      <c r="M158" s="22">
        <v>1</v>
      </c>
      <c r="N158" s="22">
        <f t="shared" si="2"/>
        <v>1</v>
      </c>
      <c r="O158" s="22">
        <f t="shared" si="1"/>
        <v>0.2</v>
      </c>
      <c r="P158" s="33">
        <f t="shared" si="3"/>
        <v>23.399999999999984</v>
      </c>
      <c r="Q158" s="33"/>
      <c r="R158" s="33"/>
      <c r="S158" s="33"/>
      <c r="T158" s="33"/>
      <c r="U158" s="33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1">
        <f>K158</f>
        <v>21717.720291654088</v>
      </c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</row>
    <row r="159" spans="3:102">
      <c r="C159" s="32" t="s">
        <v>379</v>
      </c>
      <c r="D159" s="31" t="s">
        <v>118</v>
      </c>
      <c r="E159" s="62">
        <v>154</v>
      </c>
      <c r="F159" s="32" t="str">
        <f>IF(D159="","",VLOOKUP(D159,Preços!B:C,2,FALSE))</f>
        <v>VALVULA DE RETENÇÃO 8"</v>
      </c>
      <c r="G159" s="20">
        <f>Preços!J322</f>
        <v>2900</v>
      </c>
      <c r="H159" s="20">
        <f>Preços!I321</f>
        <v>324.24</v>
      </c>
      <c r="I159" s="20">
        <f>H159*BDI_SERVIÇOS_MATERIAIS!$E$11</f>
        <v>94.525142402133383</v>
      </c>
      <c r="J159" s="20">
        <f>BDI_SERVIÇOS_MATERIAIS!$E$11*G159</f>
        <v>845.43212733218229</v>
      </c>
      <c r="K159" s="20">
        <f t="shared" si="0"/>
        <v>4164.1972697343153</v>
      </c>
      <c r="L159" s="33">
        <v>6</v>
      </c>
      <c r="M159" s="22">
        <v>1</v>
      </c>
      <c r="N159" s="22">
        <f t="shared" si="2"/>
        <v>1</v>
      </c>
      <c r="O159" s="22">
        <f t="shared" si="1"/>
        <v>0.2</v>
      </c>
      <c r="P159" s="33">
        <f t="shared" si="3"/>
        <v>23.599999999999984</v>
      </c>
      <c r="Q159" s="33"/>
      <c r="R159" s="33"/>
      <c r="S159" s="33"/>
      <c r="T159" s="33"/>
      <c r="U159" s="33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1">
        <f>K159</f>
        <v>4164.1972697343153</v>
      </c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</row>
    <row r="160" spans="3:102" ht="28.8">
      <c r="C160" s="32" t="s">
        <v>379</v>
      </c>
      <c r="D160" s="31" t="s">
        <v>119</v>
      </c>
      <c r="E160" s="62">
        <v>155</v>
      </c>
      <c r="F160" s="32" t="str">
        <f>IF(D160="","",VLOOKUP(D160,Preços!B:C,2,FALSE))</f>
        <v>REDUÇÃO PARA SOLDA BISELADA, DIAMETRO 8" X 6"</v>
      </c>
      <c r="G160" s="20">
        <f>Preços!J325</f>
        <v>253.39</v>
      </c>
      <c r="H160" s="20">
        <f>Preços!I325</f>
        <v>108.08</v>
      </c>
      <c r="I160" s="20">
        <f>H160*BDI_SERVIÇOS_MATERIAIS!$E$11</f>
        <v>31.508380800711127</v>
      </c>
      <c r="J160" s="20">
        <f>BDI_SERVIÇOS_MATERIAIS!$E$11*G160</f>
        <v>73.870360946448855</v>
      </c>
      <c r="K160" s="20">
        <f t="shared" si="0"/>
        <v>466.84874174715992</v>
      </c>
      <c r="L160" s="33">
        <v>2</v>
      </c>
      <c r="M160" s="22">
        <v>1</v>
      </c>
      <c r="N160" s="22">
        <f t="shared" si="2"/>
        <v>1</v>
      </c>
      <c r="O160" s="22">
        <f t="shared" si="1"/>
        <v>0.2</v>
      </c>
      <c r="P160" s="33">
        <f t="shared" si="3"/>
        <v>23.799999999999983</v>
      </c>
      <c r="Q160" s="33"/>
      <c r="R160" s="33"/>
      <c r="S160" s="33"/>
      <c r="T160" s="33"/>
      <c r="U160" s="33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1">
        <f>K160</f>
        <v>466.84874174715992</v>
      </c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</row>
    <row r="161" spans="3:102" ht="43.2">
      <c r="C161" s="32" t="s">
        <v>379</v>
      </c>
      <c r="D161" s="31" t="s">
        <v>120</v>
      </c>
      <c r="E161" s="62">
        <v>156</v>
      </c>
      <c r="F161" s="32" t="str">
        <f>IF(D161="","",VLOOKUP(D161,Preços!B:C,2,FALSE))</f>
        <v xml:space="preserve">VALVULA DE RETENÇÃO 1/2" COM ORIFICIO DE 3,00MMM PARA AUTOMAÇÃO </v>
      </c>
      <c r="G161" s="20">
        <f>Preços!J330</f>
        <v>36.26</v>
      </c>
      <c r="H161" s="20">
        <f>Preços!I329</f>
        <v>54.04</v>
      </c>
      <c r="I161" s="20">
        <f>H161*BDI_SERVIÇOS_MATERIAIS!$E$11</f>
        <v>15.754190400355563</v>
      </c>
      <c r="J161" s="20">
        <f>BDI_SERVIÇOS_MATERIAIS!$E$11*G161</f>
        <v>10.570816874849976</v>
      </c>
      <c r="K161" s="20">
        <f t="shared" si="0"/>
        <v>116.62500727520555</v>
      </c>
      <c r="L161" s="33">
        <v>1</v>
      </c>
      <c r="M161" s="22">
        <v>1</v>
      </c>
      <c r="N161" s="22">
        <f t="shared" si="2"/>
        <v>1</v>
      </c>
      <c r="O161" s="22">
        <f t="shared" si="1"/>
        <v>0.2</v>
      </c>
      <c r="P161" s="33">
        <f t="shared" si="3"/>
        <v>23.999999999999982</v>
      </c>
      <c r="Q161" s="33"/>
      <c r="R161" s="33"/>
      <c r="S161" s="33"/>
      <c r="T161" s="33"/>
      <c r="U161" s="33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F161" s="29"/>
      <c r="AG161" s="29"/>
      <c r="AH161" s="29"/>
      <c r="AI161" s="29"/>
      <c r="AJ161" s="29"/>
      <c r="AK161" s="29"/>
      <c r="AL161" s="29"/>
      <c r="AM161" s="29"/>
      <c r="AN161" s="21">
        <f>K161</f>
        <v>116.62500727520555</v>
      </c>
      <c r="AP161" s="29"/>
      <c r="AQ161" s="29"/>
      <c r="AR161" s="29"/>
      <c r="AS161" s="29"/>
      <c r="AT161" s="29"/>
      <c r="AU161" s="29"/>
      <c r="AV161" s="29"/>
      <c r="AW161" s="29"/>
      <c r="AX161" s="29"/>
      <c r="AY161" s="29"/>
      <c r="AZ161" s="29"/>
      <c r="BA161" s="29"/>
      <c r="BB161" s="29"/>
      <c r="BC161" s="29"/>
      <c r="BD161" s="29"/>
      <c r="BE161" s="29"/>
      <c r="BF161" s="29"/>
      <c r="BG161" s="29"/>
      <c r="BH161" s="29"/>
      <c r="BI161" s="29"/>
      <c r="BJ161" s="29"/>
      <c r="BK161" s="29"/>
      <c r="BL161" s="29"/>
      <c r="BM161" s="29"/>
      <c r="BN161" s="29"/>
      <c r="BO161" s="29"/>
      <c r="BP161" s="29"/>
      <c r="BQ161" s="29"/>
      <c r="BR161" s="29"/>
      <c r="BS161" s="29"/>
      <c r="BT161" s="29"/>
      <c r="BU161" s="29"/>
      <c r="BV161" s="29"/>
      <c r="BW161" s="29"/>
      <c r="BX161" s="29"/>
      <c r="BY161" s="29"/>
      <c r="BZ161" s="29"/>
      <c r="CA161" s="29"/>
      <c r="CB161" s="29"/>
      <c r="CC161" s="29"/>
      <c r="CD161" s="29"/>
      <c r="CE161" s="29"/>
      <c r="CF161" s="29"/>
      <c r="CG161" s="29"/>
      <c r="CH161" s="29"/>
      <c r="CI161" s="29"/>
      <c r="CJ161" s="29"/>
      <c r="CK161" s="29"/>
      <c r="CL161" s="29"/>
      <c r="CM161" s="29"/>
      <c r="CN161" s="29"/>
      <c r="CO161" s="29"/>
      <c r="CP161" s="29"/>
      <c r="CQ161" s="29"/>
      <c r="CR161" s="29"/>
      <c r="CS161" s="29"/>
      <c r="CT161" s="29"/>
      <c r="CU161" s="29"/>
      <c r="CV161" s="29"/>
      <c r="CW161" s="29"/>
      <c r="CX161" s="29"/>
    </row>
    <row r="162" spans="3:102">
      <c r="C162" s="32" t="s">
        <v>379</v>
      </c>
      <c r="D162" s="31" t="s">
        <v>121</v>
      </c>
      <c r="E162" s="62">
        <v>157</v>
      </c>
      <c r="F162" s="32" t="str">
        <f>IF(D162="","",VLOOKUP(D162,Preços!B:C,2,FALSE))</f>
        <v xml:space="preserve">VALVULA GLOBO 1/2" DE AUTOMAÇÃO </v>
      </c>
      <c r="G162" s="20">
        <f>Preços!J334</f>
        <v>179.8</v>
      </c>
      <c r="H162" s="20">
        <f>Preços!I333</f>
        <v>54.04</v>
      </c>
      <c r="I162" s="20">
        <f>H162*BDI_SERVIÇOS_MATERIAIS!$E$11</f>
        <v>15.754190400355563</v>
      </c>
      <c r="J162" s="20">
        <f>BDI_SERVIÇOS_MATERIAIS!$E$11*G162</f>
        <v>52.416791894595306</v>
      </c>
      <c r="K162" s="20">
        <f t="shared" ref="K162:K190" si="42">G162+H162+I162+J162</f>
        <v>302.01098229495085</v>
      </c>
      <c r="L162" s="33">
        <v>1</v>
      </c>
      <c r="M162" s="22">
        <v>1</v>
      </c>
      <c r="N162" s="22">
        <f t="shared" ref="N162:N202" si="43">ROUNDUP((L162/M162)/$D$2,0)</f>
        <v>1</v>
      </c>
      <c r="O162" s="22">
        <f t="shared" ref="O162:O202" si="44">ROUNDUP(N162/5,1)</f>
        <v>0.2</v>
      </c>
      <c r="P162" s="33">
        <f t="shared" si="3"/>
        <v>24.199999999999982</v>
      </c>
      <c r="Q162" s="33"/>
      <c r="R162" s="33"/>
      <c r="S162" s="33"/>
      <c r="T162" s="33"/>
      <c r="U162" s="33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1">
        <f>K162</f>
        <v>302.01098229495085</v>
      </c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</row>
    <row r="163" spans="3:102" ht="57.6">
      <c r="C163" s="32" t="s">
        <v>379</v>
      </c>
      <c r="D163" s="31" t="s">
        <v>122</v>
      </c>
      <c r="E163" s="62">
        <v>158</v>
      </c>
      <c r="F163" s="32" t="str">
        <f>IF(D163="","",VLOOKUP(D163,Preços!B:C,2,FALSE))</f>
        <v>CURVA 90 GRAUS EM ACO GALVANIZADO , RAIO CURTO, SOLDAVEL, PRESSAO 3.000 LBS, DN 8" -FORNCECIMENTO E INSTALAÇÃO</v>
      </c>
      <c r="G163" s="20">
        <f>Preços!J338</f>
        <v>1455</v>
      </c>
      <c r="H163" s="20">
        <f>Preços!I337</f>
        <v>1080.8</v>
      </c>
      <c r="I163" s="20">
        <f>H163*BDI_SERVIÇOS_MATERIAIS!$E$11</f>
        <v>315.08380800711126</v>
      </c>
      <c r="J163" s="20">
        <f>BDI_SERVIÇOS_MATERIAIS!$E$11*G163</f>
        <v>424.17370526493977</v>
      </c>
      <c r="K163" s="20">
        <f t="shared" si="42"/>
        <v>3275.057513272051</v>
      </c>
      <c r="L163" s="33">
        <v>20</v>
      </c>
      <c r="M163" s="22">
        <v>1</v>
      </c>
      <c r="N163" s="22">
        <f t="shared" si="43"/>
        <v>3</v>
      </c>
      <c r="O163" s="22">
        <f t="shared" si="44"/>
        <v>0.6</v>
      </c>
      <c r="P163" s="33">
        <f t="shared" si="3"/>
        <v>24.799999999999983</v>
      </c>
      <c r="Q163" s="33"/>
      <c r="R163" s="33"/>
      <c r="S163" s="33"/>
      <c r="T163" s="33"/>
      <c r="U163" s="33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F163" s="29"/>
      <c r="AG163" s="29"/>
      <c r="AH163" s="29"/>
      <c r="AI163" s="29"/>
      <c r="AJ163" s="29"/>
      <c r="AK163" s="29"/>
      <c r="AL163" s="29"/>
      <c r="AM163" s="29"/>
      <c r="AN163" s="29"/>
      <c r="AO163" s="21">
        <f>K163</f>
        <v>3275.057513272051</v>
      </c>
      <c r="AP163" s="29"/>
      <c r="AQ163" s="29"/>
      <c r="AR163" s="29"/>
      <c r="AS163" s="29"/>
      <c r="AT163" s="29"/>
      <c r="AU163" s="29"/>
      <c r="AV163" s="29"/>
      <c r="AW163" s="29"/>
      <c r="AX163" s="29"/>
      <c r="AY163" s="29"/>
      <c r="AZ163" s="29"/>
      <c r="BA163" s="29"/>
      <c r="BB163" s="29"/>
      <c r="BC163" s="29"/>
      <c r="BD163" s="29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</row>
    <row r="164" spans="3:102" ht="57.6">
      <c r="C164" s="32" t="s">
        <v>379</v>
      </c>
      <c r="D164" s="31" t="s">
        <v>123</v>
      </c>
      <c r="E164" s="62">
        <v>159</v>
      </c>
      <c r="F164" s="32" t="str">
        <f>IF(D164="","",VLOOKUP(D164,Preços!B:C,2,FALSE))</f>
        <v>VÁLVULA DE RETENÇÃO HORIZONTAL, DE BRONZE, ROSCÁVEL, 3/4" - FORNECIMENTO E INSTALAÇÃO. AF_01/2019</v>
      </c>
      <c r="G164" s="20">
        <f>IF(D164="","",VLOOKUP(D164,Preços!B:M,9,FALSE))</f>
        <v>90.32</v>
      </c>
      <c r="H164" s="20">
        <f>Preços!I341</f>
        <v>54.04</v>
      </c>
      <c r="I164" s="20">
        <f>H164*BDI_SERVIÇOS_MATERIAIS!$E$11</f>
        <v>15.754190400355563</v>
      </c>
      <c r="J164" s="20">
        <f>BDI_SERVIÇOS_MATERIAIS!$E$11*G164</f>
        <v>26.330837841600932</v>
      </c>
      <c r="K164" s="20">
        <f t="shared" si="42"/>
        <v>186.44502824195646</v>
      </c>
      <c r="L164" s="33">
        <v>1</v>
      </c>
      <c r="M164" s="22">
        <v>1</v>
      </c>
      <c r="N164" s="22">
        <f t="shared" si="43"/>
        <v>1</v>
      </c>
      <c r="O164" s="22">
        <f t="shared" si="44"/>
        <v>0.2</v>
      </c>
      <c r="P164" s="33">
        <f t="shared" si="3"/>
        <v>24.999999999999982</v>
      </c>
      <c r="Q164" s="33"/>
      <c r="R164" s="33"/>
      <c r="S164" s="33"/>
      <c r="T164" s="33"/>
      <c r="U164" s="33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F164" s="29"/>
      <c r="AG164" s="29"/>
      <c r="AH164" s="29"/>
      <c r="AI164" s="29"/>
      <c r="AJ164" s="29"/>
      <c r="AK164" s="29"/>
      <c r="AL164" s="29"/>
      <c r="AM164" s="29"/>
      <c r="AN164" s="29"/>
      <c r="AO164" s="21">
        <f>K164</f>
        <v>186.44502824195646</v>
      </c>
      <c r="AP164" s="29"/>
      <c r="AQ164" s="29"/>
      <c r="AR164" s="29"/>
      <c r="AS164" s="29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29"/>
      <c r="BH164" s="29"/>
      <c r="BI164" s="29"/>
      <c r="BJ164" s="29"/>
      <c r="BK164" s="29"/>
      <c r="BL164" s="29"/>
      <c r="BM164" s="29"/>
      <c r="BN164" s="29"/>
      <c r="BO164" s="29"/>
      <c r="BP164" s="29"/>
      <c r="BQ164" s="29"/>
      <c r="BR164" s="29"/>
      <c r="BS164" s="29"/>
      <c r="BT164" s="29"/>
      <c r="BU164" s="29"/>
      <c r="BV164" s="29"/>
      <c r="BW164" s="29"/>
      <c r="BX164" s="29"/>
      <c r="BY164" s="29"/>
      <c r="BZ164" s="29"/>
      <c r="CA164" s="29"/>
      <c r="CB164" s="29"/>
      <c r="CC164" s="29"/>
      <c r="CD164" s="29"/>
      <c r="CE164" s="29"/>
      <c r="CF164" s="29"/>
      <c r="CG164" s="29"/>
      <c r="CH164" s="29"/>
      <c r="CI164" s="29"/>
      <c r="CJ164" s="29"/>
      <c r="CK164" s="29"/>
      <c r="CL164" s="29"/>
      <c r="CM164" s="29"/>
      <c r="CN164" s="29"/>
      <c r="CO164" s="29"/>
      <c r="CP164" s="29"/>
      <c r="CQ164" s="29"/>
      <c r="CR164" s="29"/>
      <c r="CS164" s="29"/>
      <c r="CT164" s="29"/>
      <c r="CU164" s="29"/>
      <c r="CV164" s="29"/>
      <c r="CW164" s="29"/>
      <c r="CX164" s="29"/>
    </row>
    <row r="165" spans="3:102" ht="57.6">
      <c r="C165" s="32" t="s">
        <v>379</v>
      </c>
      <c r="D165" s="31" t="s">
        <v>124</v>
      </c>
      <c r="E165" s="62">
        <v>160</v>
      </c>
      <c r="F165" s="32" t="str">
        <f>IF(D165="","",VLOOKUP(D165,Preços!B:C,2,FALSE))</f>
        <v>REGISTRO DE GAVETA BRUTO, LATÃO, ROSCÁVEL, 3/4", FORNECIDO E INSTALADO EM RAMAL DE ÁGUA. AF_12/2014</v>
      </c>
      <c r="G165" s="20">
        <f>IF(D165="","",VLOOKUP(D165,Preços!B:M,9,FALSE))</f>
        <v>31.93</v>
      </c>
      <c r="H165" s="20">
        <f>Preços!I345</f>
        <v>54.04</v>
      </c>
      <c r="I165" s="20">
        <f>H165*BDI_SERVIÇOS_MATERIAIS!$E$11</f>
        <v>15.754190400355563</v>
      </c>
      <c r="J165" s="20">
        <f>BDI_SERVIÇOS_MATERIAIS!$E$11*G165</f>
        <v>9.3084992502470971</v>
      </c>
      <c r="K165" s="20">
        <f t="shared" si="42"/>
        <v>111.03268965060266</v>
      </c>
      <c r="L165" s="33">
        <v>1</v>
      </c>
      <c r="M165" s="22">
        <v>1</v>
      </c>
      <c r="N165" s="22">
        <f t="shared" si="43"/>
        <v>1</v>
      </c>
      <c r="O165" s="22">
        <f t="shared" si="44"/>
        <v>0.2</v>
      </c>
      <c r="P165" s="33">
        <f t="shared" si="3"/>
        <v>25.199999999999982</v>
      </c>
      <c r="Q165" s="33"/>
      <c r="R165" s="33"/>
      <c r="S165" s="33"/>
      <c r="T165" s="33"/>
      <c r="U165" s="33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F165" s="29"/>
      <c r="AG165" s="29"/>
      <c r="AH165" s="29"/>
      <c r="AI165" s="29"/>
      <c r="AJ165" s="29"/>
      <c r="AK165" s="29"/>
      <c r="AL165" s="29"/>
      <c r="AM165" s="29"/>
      <c r="AN165" s="29"/>
      <c r="AO165" s="29"/>
      <c r="AP165" s="21">
        <f>K165</f>
        <v>111.03268965060266</v>
      </c>
      <c r="AQ165" s="29"/>
      <c r="AR165" s="29"/>
      <c r="AS165" s="29"/>
      <c r="AT165" s="29"/>
      <c r="AU165" s="29"/>
      <c r="AV165" s="29"/>
      <c r="AW165" s="29"/>
      <c r="AX165" s="29"/>
      <c r="AY165" s="29"/>
      <c r="AZ165" s="29"/>
      <c r="BA165" s="29"/>
      <c r="BB165" s="29"/>
      <c r="BC165" s="29"/>
      <c r="BD165" s="29"/>
      <c r="BE165" s="29"/>
      <c r="BF165" s="29"/>
      <c r="BG165" s="29"/>
      <c r="BH165" s="29"/>
      <c r="BI165" s="29"/>
      <c r="BJ165" s="29"/>
      <c r="BK165" s="29"/>
      <c r="BL165" s="29"/>
      <c r="BM165" s="29"/>
      <c r="BN165" s="29"/>
      <c r="BO165" s="29"/>
      <c r="BP165" s="29"/>
      <c r="BQ165" s="29"/>
      <c r="BR165" s="29"/>
      <c r="BS165" s="29"/>
      <c r="BT165" s="29"/>
      <c r="BU165" s="29"/>
      <c r="BV165" s="29"/>
      <c r="BW165" s="29"/>
      <c r="BX165" s="29"/>
      <c r="BY165" s="29"/>
      <c r="BZ165" s="29"/>
      <c r="CA165" s="29"/>
      <c r="CB165" s="29"/>
      <c r="CC165" s="29"/>
      <c r="CD165" s="29"/>
      <c r="CE165" s="29"/>
      <c r="CF165" s="29"/>
      <c r="CG165" s="29"/>
      <c r="CH165" s="29"/>
      <c r="CI165" s="29"/>
      <c r="CJ165" s="29"/>
      <c r="CK165" s="29"/>
      <c r="CL165" s="29"/>
      <c r="CM165" s="29"/>
      <c r="CN165" s="29"/>
      <c r="CO165" s="29"/>
      <c r="CP165" s="29"/>
      <c r="CQ165" s="29"/>
      <c r="CR165" s="29"/>
      <c r="CS165" s="29"/>
      <c r="CT165" s="29"/>
      <c r="CU165" s="29"/>
      <c r="CV165" s="29"/>
      <c r="CW165" s="29"/>
      <c r="CX165" s="29"/>
    </row>
    <row r="166" spans="3:102" ht="45" customHeight="1">
      <c r="C166" s="32" t="s">
        <v>379</v>
      </c>
      <c r="D166" s="31" t="s">
        <v>559</v>
      </c>
      <c r="E166" s="62">
        <v>161</v>
      </c>
      <c r="F166" s="32" t="str">
        <f>IF(D166="","",VLOOKUP(D166,Preços!B:C,2,FALSE))</f>
        <v>SPK PENDENTE K11 ( K160) RESPOSTA PADRÃO - CASA DE BOMBAS</v>
      </c>
      <c r="G166" s="20">
        <f>IF(D166="","",VLOOKUP(D166,Preços!B:M,9,FALSE))</f>
        <v>100.09287999999999</v>
      </c>
      <c r="H166" s="20">
        <f>IF(D166="","",VLOOKUP(D166,Preços!B:M,8,FALSE))</f>
        <v>7.5656000000000008</v>
      </c>
      <c r="I166" s="20">
        <f>H166*BDI_SERVIÇOS_MATERIAIS!$E$11</f>
        <v>2.2055866560497792</v>
      </c>
      <c r="J166" s="20">
        <f>BDI_SERVIÇOS_MATERIAIS!$E$11*G166</f>
        <v>29.179909127312015</v>
      </c>
      <c r="K166" s="20">
        <f t="shared" si="42"/>
        <v>139.04397578336179</v>
      </c>
      <c r="L166" s="33">
        <v>1</v>
      </c>
      <c r="M166" s="22">
        <v>1</v>
      </c>
      <c r="N166" s="22">
        <f t="shared" si="43"/>
        <v>1</v>
      </c>
      <c r="O166" s="22">
        <f t="shared" si="44"/>
        <v>0.2</v>
      </c>
      <c r="P166" s="33">
        <f t="shared" si="3"/>
        <v>25.399999999999981</v>
      </c>
      <c r="Q166" s="33"/>
      <c r="R166" s="33"/>
      <c r="S166" s="33"/>
      <c r="T166" s="33"/>
      <c r="U166" s="33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1">
        <f>K166</f>
        <v>139.04397578336179</v>
      </c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</row>
    <row r="167" spans="3:102" ht="86.4">
      <c r="C167" s="32" t="s">
        <v>379</v>
      </c>
      <c r="D167" s="31" t="s">
        <v>570</v>
      </c>
      <c r="E167" s="62">
        <v>162</v>
      </c>
      <c r="F167" s="32" t="str">
        <f>IF(D167="","",VLOOKUP(D167,Preços!B:C,2,FALSE))</f>
        <v>TUBO DE AÇO GALVANIZADO COM COSTURA, CLASSE MÉDIA, CONEXÃO ROSQUEADA, DN 25 (1"), INSTALADO EM REDE DE ALIMENTAÇÃO PARA SPRINKLER - FORNECIMENTO E INSTALAÇÃO. AF_10/2020</v>
      </c>
      <c r="G167" s="20">
        <f>IF(D167="","",VLOOKUP(D167,Preços!B:M,9,FALSE))</f>
        <v>575.89692000000002</v>
      </c>
      <c r="H167" s="20">
        <f>IF(D167="","",VLOOKUP(D167,Preços!B:M,8,FALSE))</f>
        <v>168.60480000000001</v>
      </c>
      <c r="I167" s="20">
        <f>H167*BDI_SERVIÇOS_MATERIAIS!$E$11</f>
        <v>49.153074049109364</v>
      </c>
      <c r="J167" s="20">
        <f>BDI_SERVIÇOS_MATERIAIS!$E$11*G167</f>
        <v>167.89026144815574</v>
      </c>
      <c r="K167" s="20">
        <f t="shared" si="42"/>
        <v>961.54505549726514</v>
      </c>
      <c r="L167" s="33">
        <v>2</v>
      </c>
      <c r="M167" s="22">
        <v>1</v>
      </c>
      <c r="N167" s="22">
        <f t="shared" si="43"/>
        <v>1</v>
      </c>
      <c r="O167" s="22">
        <f t="shared" si="44"/>
        <v>0.2</v>
      </c>
      <c r="P167" s="33">
        <f t="shared" ref="P167:P168" si="45">O167+P166</f>
        <v>25.59999999999998</v>
      </c>
      <c r="Q167" s="33"/>
      <c r="R167" s="33"/>
      <c r="S167" s="33"/>
      <c r="T167" s="33"/>
      <c r="U167" s="33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1">
        <f>K167</f>
        <v>961.54505549726514</v>
      </c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</row>
    <row r="168" spans="3:102" ht="86.4">
      <c r="C168" s="32" t="s">
        <v>379</v>
      </c>
      <c r="D168" s="31" t="s">
        <v>571</v>
      </c>
      <c r="E168" s="62">
        <v>163</v>
      </c>
      <c r="F168" s="32" t="str">
        <f>IF(D168="","",VLOOKUP(D168,Preços!B:C,2,FALSE))</f>
        <v>JOELHO 90 GRAUS, EM FERRO GALVANIZADO, CONEXÃO ROSQUEADA, DN 25 (1"), INSTALADO EM REDE DE ALIMENTAÇÃO PARA SPRINKLER - FORNECIMENTO E INSTALAÇÃO. AF_10/2020</v>
      </c>
      <c r="G168" s="20">
        <f>IF(D168="","",VLOOKUP(D168,Preços!B:M,9,FALSE))</f>
        <v>99.295799999999986</v>
      </c>
      <c r="H168" s="20">
        <f>IF(D168="","",VLOOKUP(D168,Preços!B:M,8,FALSE))</f>
        <v>146.23223999999999</v>
      </c>
      <c r="I168" s="20">
        <f>H168*BDI_SERVIÇOS_MATERIAIS!$E$11</f>
        <v>42.630839223362152</v>
      </c>
      <c r="J168" s="20">
        <f>BDI_SERVIÇOS_MATERIAIS!$E$11*G168</f>
        <v>28.947537734189964</v>
      </c>
      <c r="K168" s="20">
        <f t="shared" si="42"/>
        <v>317.10641695755209</v>
      </c>
      <c r="L168" s="33">
        <v>1</v>
      </c>
      <c r="M168" s="22">
        <v>1</v>
      </c>
      <c r="N168" s="22">
        <f t="shared" si="43"/>
        <v>1</v>
      </c>
      <c r="O168" s="22">
        <f t="shared" si="44"/>
        <v>0.2</v>
      </c>
      <c r="P168" s="33">
        <f t="shared" si="45"/>
        <v>25.799999999999979</v>
      </c>
      <c r="Q168" s="33"/>
      <c r="R168" s="33"/>
      <c r="S168" s="33"/>
      <c r="T168" s="33"/>
      <c r="U168" s="33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1">
        <f>K168</f>
        <v>317.10641695755209</v>
      </c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</row>
    <row r="169" spans="3:102" ht="28.8">
      <c r="C169" s="32" t="s">
        <v>380</v>
      </c>
      <c r="D169" s="31" t="s">
        <v>73</v>
      </c>
      <c r="E169" s="62">
        <v>164</v>
      </c>
      <c r="F169" s="32" t="str">
        <f>IF(D169="","",VLOOKUP(D169,Preços!B:C,2,FALSE))</f>
        <v>CENTRAL DE ALARME END. CIE 1-125 - INTELBRAS OU SIMILAR</v>
      </c>
      <c r="G169" s="707">
        <f>Preços!J367</f>
        <v>1812.31</v>
      </c>
      <c r="H169" s="20">
        <f>Preços!I367</f>
        <v>425.76</v>
      </c>
      <c r="I169" s="20">
        <f>H169*BDI_SERVIÇOS_MATERIAIS!$E$11</f>
        <v>124.12109742515516</v>
      </c>
      <c r="J169" s="20">
        <f>BDI_SERVIÇOS_MATERIAIS!$E$11*G169</f>
        <v>528.33968920185771</v>
      </c>
      <c r="K169" s="20">
        <f t="shared" si="42"/>
        <v>2890.5307866270127</v>
      </c>
      <c r="L169" s="33">
        <v>8</v>
      </c>
      <c r="M169" s="22">
        <v>1</v>
      </c>
      <c r="N169" s="22">
        <f t="shared" si="43"/>
        <v>1</v>
      </c>
      <c r="O169" s="22">
        <f t="shared" si="44"/>
        <v>0.2</v>
      </c>
      <c r="P169" s="33">
        <f>P165+O169</f>
        <v>25.399999999999981</v>
      </c>
      <c r="Q169" s="33"/>
      <c r="R169" s="33"/>
      <c r="S169" s="33"/>
      <c r="T169" s="33"/>
      <c r="U169" s="33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1">
        <f t="shared" ref="AP169:AP174" si="46">K169</f>
        <v>2890.5307866270127</v>
      </c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</row>
    <row r="170" spans="3:102" ht="28.8">
      <c r="C170" s="32" t="s">
        <v>380</v>
      </c>
      <c r="D170" s="31" t="s">
        <v>74</v>
      </c>
      <c r="E170" s="62">
        <v>165</v>
      </c>
      <c r="F170" s="32" t="str">
        <f>IF(D170="","",VLOOKUP(D170,Preços!B:C,2,FALSE))</f>
        <v xml:space="preserve">BATERIA DO SISTEMA DE ALARME </v>
      </c>
      <c r="G170" s="709"/>
      <c r="H170" s="20">
        <v>0</v>
      </c>
      <c r="I170" s="20">
        <f>H170*BDI_SERVIÇOS_MATERIAIS!$E$11</f>
        <v>0</v>
      </c>
      <c r="J170" s="20">
        <f>BDI_SERVIÇOS_MATERIAIS!$E$11*G170</f>
        <v>0</v>
      </c>
      <c r="K170" s="20">
        <v>0</v>
      </c>
      <c r="L170" s="33">
        <v>1</v>
      </c>
      <c r="M170" s="22">
        <v>1</v>
      </c>
      <c r="N170" s="22">
        <f t="shared" si="43"/>
        <v>1</v>
      </c>
      <c r="O170" s="22">
        <f t="shared" si="44"/>
        <v>0.2</v>
      </c>
      <c r="P170" s="33">
        <f t="shared" ref="P170:P195" si="47">O170+P169</f>
        <v>25.59999999999998</v>
      </c>
      <c r="Q170" s="33"/>
      <c r="R170" s="33"/>
      <c r="S170" s="33"/>
      <c r="T170" s="33"/>
      <c r="U170" s="33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1">
        <f t="shared" si="46"/>
        <v>0</v>
      </c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</row>
    <row r="171" spans="3:102" ht="28.8">
      <c r="C171" s="32" t="s">
        <v>380</v>
      </c>
      <c r="D171" s="31" t="s">
        <v>75</v>
      </c>
      <c r="E171" s="62">
        <v>166</v>
      </c>
      <c r="F171" s="32" t="str">
        <f>IF(D171="","",VLOOKUP(D171,Preços!B:C,2,FALSE))</f>
        <v>ACIONADOR MANUAL END. AME520 - INTELBRAS OU SIMILAR</v>
      </c>
      <c r="G171" s="20">
        <f>Preços!J373</f>
        <v>2167.9</v>
      </c>
      <c r="H171" s="20">
        <f>Preços!I372</f>
        <v>798.3</v>
      </c>
      <c r="I171" s="20">
        <f>H171*BDI_SERVIÇOS_MATERIAIS!$E$11</f>
        <v>232.7270576721659</v>
      </c>
      <c r="J171" s="20">
        <f>BDI_SERVIÇOS_MATERIAIS!$E$11*G171</f>
        <v>632.00424442877181</v>
      </c>
      <c r="K171" s="20">
        <f t="shared" si="42"/>
        <v>3830.9313021009375</v>
      </c>
      <c r="L171" s="33">
        <v>15</v>
      </c>
      <c r="M171" s="22">
        <v>2</v>
      </c>
      <c r="N171" s="22">
        <f t="shared" si="43"/>
        <v>1</v>
      </c>
      <c r="O171" s="22">
        <f t="shared" si="44"/>
        <v>0.2</v>
      </c>
      <c r="P171" s="33">
        <f t="shared" si="47"/>
        <v>25.799999999999979</v>
      </c>
      <c r="Q171" s="33"/>
      <c r="R171" s="33"/>
      <c r="S171" s="33"/>
      <c r="T171" s="33"/>
      <c r="U171" s="33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1">
        <f t="shared" si="46"/>
        <v>3830.9313021009375</v>
      </c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</row>
    <row r="172" spans="3:102" ht="28.8">
      <c r="C172" s="32" t="s">
        <v>380</v>
      </c>
      <c r="D172" s="31" t="s">
        <v>76</v>
      </c>
      <c r="E172" s="62">
        <v>167</v>
      </c>
      <c r="F172" s="32" t="str">
        <f>IF(D172="","",VLOOKUP(D172,Preços!B:C,2,FALSE))</f>
        <v>PROTETOR DE SURTO AC - PKE 220/127</v>
      </c>
      <c r="G172" s="20">
        <f>Preços!J376</f>
        <v>71.63</v>
      </c>
      <c r="H172" s="20">
        <f>Preços!I376</f>
        <v>53.22</v>
      </c>
      <c r="I172" s="20">
        <f>H172*BDI_SERVIÇOS_MATERIAIS!$E$11</f>
        <v>15.515137178144395</v>
      </c>
      <c r="J172" s="20">
        <f>BDI_SERVIÇOS_MATERIAIS!$E$11*G172</f>
        <v>20.882173545104902</v>
      </c>
      <c r="K172" s="20">
        <f t="shared" si="42"/>
        <v>161.24731072324929</v>
      </c>
      <c r="L172" s="33">
        <v>1</v>
      </c>
      <c r="M172" s="22">
        <v>1</v>
      </c>
      <c r="N172" s="22">
        <f t="shared" si="43"/>
        <v>1</v>
      </c>
      <c r="O172" s="22">
        <f t="shared" si="44"/>
        <v>0.2</v>
      </c>
      <c r="P172" s="33">
        <f t="shared" si="47"/>
        <v>25.999999999999979</v>
      </c>
      <c r="Q172" s="33"/>
      <c r="R172" s="33"/>
      <c r="S172" s="33"/>
      <c r="T172" s="33"/>
      <c r="U172" s="33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1">
        <f t="shared" si="46"/>
        <v>161.24731072324929</v>
      </c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</row>
    <row r="173" spans="3:102" ht="28.8">
      <c r="C173" s="32" t="s">
        <v>380</v>
      </c>
      <c r="D173" s="31" t="s">
        <v>77</v>
      </c>
      <c r="E173" s="62">
        <v>168</v>
      </c>
      <c r="F173" s="32" t="str">
        <f>IF(D173="","",VLOOKUP(D173,Preços!B:C,2,FALSE))</f>
        <v>PROTETOR DE SURTO DC - MPD 590</v>
      </c>
      <c r="G173" s="20">
        <f>Preços!H381</f>
        <v>219.59</v>
      </c>
      <c r="H173" s="20">
        <f>Preços!I380</f>
        <v>53.22</v>
      </c>
      <c r="I173" s="20">
        <f>H173*BDI_SERVIÇOS_MATERIAIS!$E$11</f>
        <v>15.515137178144395</v>
      </c>
      <c r="J173" s="20">
        <f>BDI_SERVIÇOS_MATERIAIS!$E$11*G173</f>
        <v>64.016703738232394</v>
      </c>
      <c r="K173" s="20">
        <f t="shared" si="42"/>
        <v>352.34184091637678</v>
      </c>
      <c r="L173" s="33">
        <v>1</v>
      </c>
      <c r="M173" s="22">
        <v>1</v>
      </c>
      <c r="N173" s="22">
        <f t="shared" si="43"/>
        <v>1</v>
      </c>
      <c r="O173" s="22">
        <f t="shared" si="44"/>
        <v>0.2</v>
      </c>
      <c r="P173" s="33">
        <f t="shared" si="47"/>
        <v>26.199999999999978</v>
      </c>
      <c r="Q173" s="33"/>
      <c r="R173" s="33"/>
      <c r="S173" s="33"/>
      <c r="T173" s="33"/>
      <c r="U173" s="33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1">
        <f t="shared" si="46"/>
        <v>352.34184091637678</v>
      </c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</row>
    <row r="174" spans="3:102" ht="28.8">
      <c r="C174" s="32" t="s">
        <v>380</v>
      </c>
      <c r="D174" s="31" t="s">
        <v>78</v>
      </c>
      <c r="E174" s="62">
        <v>169</v>
      </c>
      <c r="F174" s="32" t="str">
        <f>IF(D174="","",VLOOKUP(D174,Preços!B:C,2,FALSE))</f>
        <v>DETECTOR DE FUM END. DFE 520 - INTELBRAS OU SIMILAR</v>
      </c>
      <c r="G174" s="20">
        <f>Preços!J385</f>
        <v>5213.58</v>
      </c>
      <c r="H174" s="20">
        <f>Preços!I384</f>
        <v>532.20000000000005</v>
      </c>
      <c r="I174" s="20">
        <f>H174*BDI_SERVIÇOS_MATERIAIS!$E$11</f>
        <v>155.15137178144397</v>
      </c>
      <c r="J174" s="20">
        <f>BDI_SERVIÇOS_MATERIAIS!$E$11*G174</f>
        <v>1519.9062173850066</v>
      </c>
      <c r="K174" s="20">
        <f t="shared" si="42"/>
        <v>7420.8375891664509</v>
      </c>
      <c r="L174" s="33">
        <v>10</v>
      </c>
      <c r="M174" s="22">
        <v>2</v>
      </c>
      <c r="N174" s="22">
        <f t="shared" si="43"/>
        <v>1</v>
      </c>
      <c r="O174" s="22">
        <f t="shared" si="44"/>
        <v>0.2</v>
      </c>
      <c r="P174" s="33">
        <f t="shared" si="47"/>
        <v>26.399999999999977</v>
      </c>
      <c r="Q174" s="33"/>
      <c r="R174" s="33"/>
      <c r="S174" s="33"/>
      <c r="T174" s="33"/>
      <c r="U174" s="33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1">
        <f t="shared" si="46"/>
        <v>7420.8375891664509</v>
      </c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</row>
    <row r="175" spans="3:102" ht="28.8">
      <c r="C175" s="32" t="s">
        <v>380</v>
      </c>
      <c r="D175" s="31" t="s">
        <v>79</v>
      </c>
      <c r="E175" s="62">
        <v>170</v>
      </c>
      <c r="F175" s="32" t="str">
        <f>IF(D175="","",VLOOKUP(D175,Preços!B:C,2,FALSE))</f>
        <v>SIRENE VIP STROBE - L24 VERMELHA</v>
      </c>
      <c r="G175" s="20">
        <f>Preços!J389</f>
        <v>1515.44</v>
      </c>
      <c r="H175" s="20">
        <f>Preços!I388</f>
        <v>532.20000000000005</v>
      </c>
      <c r="I175" s="20">
        <f>H175*BDI_SERVIÇOS_MATERIAIS!$E$11</f>
        <v>155.15137178144397</v>
      </c>
      <c r="J175" s="20">
        <f>BDI_SERVIÇOS_MATERIAIS!$E$11*G175</f>
        <v>441.79367691182154</v>
      </c>
      <c r="K175" s="20">
        <f t="shared" si="42"/>
        <v>2644.5850486932654</v>
      </c>
      <c r="L175" s="33">
        <v>10</v>
      </c>
      <c r="M175" s="22">
        <v>2</v>
      </c>
      <c r="N175" s="22">
        <f t="shared" si="43"/>
        <v>1</v>
      </c>
      <c r="O175" s="22">
        <f t="shared" si="44"/>
        <v>0.2</v>
      </c>
      <c r="P175" s="33">
        <f t="shared" si="47"/>
        <v>26.599999999999977</v>
      </c>
      <c r="Q175" s="33"/>
      <c r="R175" s="33"/>
      <c r="S175" s="33"/>
      <c r="T175" s="33"/>
      <c r="U175" s="33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0"/>
      <c r="AL175" s="29"/>
      <c r="AM175" s="29"/>
      <c r="AN175" s="29"/>
      <c r="AO175" s="29"/>
      <c r="AP175" s="66"/>
      <c r="AQ175" s="21">
        <f>K175</f>
        <v>2644.5850486932654</v>
      </c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</row>
    <row r="176" spans="3:102" ht="28.8">
      <c r="C176" s="32" t="s">
        <v>380</v>
      </c>
      <c r="D176" s="31" t="s">
        <v>221</v>
      </c>
      <c r="E176" s="62">
        <v>171</v>
      </c>
      <c r="F176" s="32" t="str">
        <f>IF(D176="","",VLOOKUP(D176,Preços!B:C,2,FALSE))</f>
        <v>INFRAESTRUTURA PARA ALARME</v>
      </c>
      <c r="G176" s="20">
        <f>Preços!J392</f>
        <v>20866.940000000002</v>
      </c>
      <c r="H176" s="20">
        <f>Preços!I392</f>
        <v>9472.3900000000012</v>
      </c>
      <c r="I176" s="20">
        <f>H176*BDI_SERVIÇOS_MATERIAIS!$E$11</f>
        <v>2761.4699409034797</v>
      </c>
      <c r="J176" s="20">
        <f>BDI_SERVIÇOS_MATERIAIS!$E$11*G176</f>
        <v>6083.3039569355205</v>
      </c>
      <c r="K176" s="20">
        <f t="shared" si="42"/>
        <v>39184.103897838999</v>
      </c>
      <c r="L176" s="33">
        <v>250</v>
      </c>
      <c r="M176" s="22">
        <v>2</v>
      </c>
      <c r="N176" s="22">
        <f t="shared" si="43"/>
        <v>16</v>
      </c>
      <c r="O176" s="22">
        <f t="shared" si="44"/>
        <v>3.2</v>
      </c>
      <c r="P176" s="33">
        <f t="shared" si="47"/>
        <v>29.799999999999976</v>
      </c>
      <c r="Q176" s="33"/>
      <c r="R176" s="33"/>
      <c r="S176" s="33"/>
      <c r="T176" s="33"/>
      <c r="U176" s="33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66"/>
      <c r="AS176" s="66"/>
      <c r="AT176" s="21">
        <f>K176</f>
        <v>39184.103897838999</v>
      </c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</row>
    <row r="177" spans="3:102" ht="28.8">
      <c r="C177" s="32" t="s">
        <v>395</v>
      </c>
      <c r="D177" s="31" t="s">
        <v>125</v>
      </c>
      <c r="E177" s="62">
        <v>172</v>
      </c>
      <c r="F177" s="32" t="str">
        <f>IF(D177="","",VLOOKUP(D177,Preços!B:C,2,FALSE))</f>
        <v>EXTINTOR DE PQS 4KG - FORNECIMENTO E INSTALACAO</v>
      </c>
      <c r="G177" s="20">
        <f>IF(D177="","",VLOOKUP(D177,Preços!B:M,9,FALSE))</f>
        <v>23.56</v>
      </c>
      <c r="H177" s="20">
        <f>IF(D177="","",VLOOKUP(D177,Preços!B:M,8,FALSE))</f>
        <v>590.29199999999992</v>
      </c>
      <c r="I177" s="20">
        <f>H177*BDI_SERVIÇOS_MATERIAIS!$E$11</f>
        <v>172.0868349335064</v>
      </c>
      <c r="J177" s="20">
        <f>BDI_SERVIÇOS_MATERIAIS!$E$11*G177</f>
        <v>6.8684072137745567</v>
      </c>
      <c r="K177" s="20">
        <f t="shared" si="42"/>
        <v>792.80724214728082</v>
      </c>
      <c r="L177" s="33">
        <f>LARGE(Preços!G414:G415,1)</f>
        <v>11.4</v>
      </c>
      <c r="M177" s="22">
        <v>1</v>
      </c>
      <c r="N177" s="22">
        <f t="shared" si="43"/>
        <v>2</v>
      </c>
      <c r="O177" s="22">
        <f t="shared" si="44"/>
        <v>0.4</v>
      </c>
      <c r="P177" s="33">
        <f t="shared" si="47"/>
        <v>30.199999999999974</v>
      </c>
      <c r="Q177" s="33"/>
      <c r="R177" s="33"/>
      <c r="S177" s="33"/>
      <c r="T177" s="33"/>
      <c r="U177" s="33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1">
        <f>K177</f>
        <v>792.80724214728082</v>
      </c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</row>
    <row r="178" spans="3:102" ht="57.6">
      <c r="C178" s="32" t="s">
        <v>395</v>
      </c>
      <c r="D178" s="31" t="s">
        <v>126</v>
      </c>
      <c r="E178" s="62">
        <v>173</v>
      </c>
      <c r="F178" s="32" t="str">
        <f>IF(D178="","",VLOOKUP(D178,Preços!B:C,2,FALSE))</f>
        <v>EXTINTOR INCENDIO AGUA-PRESSURIZADA 10L INCL SUPORTE PAREDE CARGA     COMPLETA FORNECIMENTO E COLOCAÇÃO</v>
      </c>
      <c r="G178" s="20">
        <f>IF(D178="","",VLOOKUP(D178,Preços!B:M,9,FALSE))</f>
        <v>1795.5000000000002</v>
      </c>
      <c r="H178" s="20">
        <f>IF(D178="","",VLOOKUP(D178,Preços!B:M,8,FALSE))</f>
        <v>245.2</v>
      </c>
      <c r="I178" s="20">
        <f>H178*BDI_SERVIÇOS_MATERIAIS!$E$11</f>
        <v>71.482744007534862</v>
      </c>
      <c r="J178" s="20">
        <f>BDI_SERVIÇOS_MATERIAIS!$E$11*G178</f>
        <v>523.43909814652886</v>
      </c>
      <c r="K178" s="20">
        <f t="shared" si="42"/>
        <v>2635.6218421540643</v>
      </c>
      <c r="L178" s="33">
        <f>LARGE(Preços!G419:G420,1)</f>
        <v>5</v>
      </c>
      <c r="M178" s="22">
        <v>1</v>
      </c>
      <c r="N178" s="22">
        <f t="shared" si="43"/>
        <v>1</v>
      </c>
      <c r="O178" s="22">
        <f t="shared" si="44"/>
        <v>0.2</v>
      </c>
      <c r="P178" s="33">
        <f t="shared" si="47"/>
        <v>30.399999999999974</v>
      </c>
      <c r="Q178" s="33"/>
      <c r="R178" s="33"/>
      <c r="S178" s="33"/>
      <c r="T178" s="33"/>
      <c r="U178" s="33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1">
        <f>K178</f>
        <v>2635.6218421540643</v>
      </c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</row>
    <row r="179" spans="3:102" ht="28.8">
      <c r="C179" s="32" t="s">
        <v>395</v>
      </c>
      <c r="D179" s="31" t="s">
        <v>127</v>
      </c>
      <c r="E179" s="62">
        <v>174</v>
      </c>
      <c r="F179" s="32" t="str">
        <f>IF(D179="","",VLOOKUP(D179,Preços!B:C,2,FALSE))</f>
        <v>EXTINTOR DE CO2 6KG - FORNECIMENTO E INSTALACAO</v>
      </c>
      <c r="G179" s="20">
        <f>IF(D179="","",VLOOKUP(D179,Preços!B:M,9,FALSE))</f>
        <v>3.1</v>
      </c>
      <c r="H179" s="20">
        <f>IF(D179="","",VLOOKUP(D179,Preços!B:M,8,FALSE))</f>
        <v>77.669999999999987</v>
      </c>
      <c r="I179" s="20">
        <f>H179*BDI_SERVIÇOS_MATERIAIS!$E$11</f>
        <v>22.643004596513997</v>
      </c>
      <c r="J179" s="20">
        <f>BDI_SERVIÇOS_MATERIAIS!$E$11*G179</f>
        <v>0.90373779128612597</v>
      </c>
      <c r="K179" s="20">
        <f t="shared" si="42"/>
        <v>104.3167423878001</v>
      </c>
      <c r="L179" s="33">
        <f>LARGE(Preços!G419:G420,1)</f>
        <v>5</v>
      </c>
      <c r="M179" s="22">
        <v>1</v>
      </c>
      <c r="N179" s="22">
        <f t="shared" si="43"/>
        <v>1</v>
      </c>
      <c r="O179" s="22">
        <f t="shared" si="44"/>
        <v>0.2</v>
      </c>
      <c r="P179" s="33">
        <f t="shared" si="47"/>
        <v>30.599999999999973</v>
      </c>
      <c r="Q179" s="33"/>
      <c r="R179" s="33"/>
      <c r="S179" s="33"/>
      <c r="T179" s="33"/>
      <c r="U179" s="33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1">
        <f>K179</f>
        <v>104.3167423878001</v>
      </c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</row>
    <row r="180" spans="3:102">
      <c r="C180" s="32" t="s">
        <v>395</v>
      </c>
      <c r="D180" s="31" t="s">
        <v>128</v>
      </c>
      <c r="E180" s="62">
        <v>175</v>
      </c>
      <c r="F180" s="32" t="str">
        <f>IF(D180="","",VLOOKUP(D180,Preços!B:C,2,FALSE))</f>
        <v>EXTINTOR SOBRE RODAS PQS 20KG-30BC</v>
      </c>
      <c r="G180" s="20">
        <f>Preços!J426</f>
        <v>1900</v>
      </c>
      <c r="H180" s="20">
        <f>IF(D180="","",VLOOKUP(D180,Preços!B:M,8,FALSE))</f>
        <v>0</v>
      </c>
      <c r="I180" s="20">
        <f>H180*BDI_SERVIÇOS_MATERIAIS!$E$11</f>
        <v>0</v>
      </c>
      <c r="J180" s="20">
        <f>BDI_SERVIÇOS_MATERIAIS!$E$11*G180</f>
        <v>553.90380756246429</v>
      </c>
      <c r="K180" s="20">
        <f t="shared" si="42"/>
        <v>2453.9038075624644</v>
      </c>
      <c r="L180" s="33">
        <v>1</v>
      </c>
      <c r="M180" s="22">
        <v>1</v>
      </c>
      <c r="N180" s="22">
        <f t="shared" si="43"/>
        <v>1</v>
      </c>
      <c r="O180" s="22">
        <f t="shared" si="44"/>
        <v>0.2</v>
      </c>
      <c r="P180" s="33">
        <f t="shared" si="47"/>
        <v>30.799999999999972</v>
      </c>
      <c r="Q180" s="33"/>
      <c r="R180" s="33"/>
      <c r="S180" s="33"/>
      <c r="T180" s="33"/>
      <c r="U180" s="33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1">
        <f>K180</f>
        <v>2453.9038075624644</v>
      </c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</row>
    <row r="181" spans="3:102" ht="28.8">
      <c r="C181" s="32" t="s">
        <v>395</v>
      </c>
      <c r="D181" s="31" t="s">
        <v>129</v>
      </c>
      <c r="E181" s="62">
        <v>176</v>
      </c>
      <c r="F181" s="32" t="str">
        <f>IF(D181="","",VLOOKUP(D181,Preços!B:C,2,FALSE))</f>
        <v>SUPORTE DE EXTINTOR  DE PAREDE-Fornecimento e instalação</v>
      </c>
      <c r="G181" s="20">
        <f>Preços!J428</f>
        <v>48</v>
      </c>
      <c r="H181" s="20">
        <f>Preços!I427</f>
        <v>161.6</v>
      </c>
      <c r="I181" s="20">
        <f>H181*BDI_SERVIÇOS_MATERIAIS!$E$11</f>
        <v>47.110976474786433</v>
      </c>
      <c r="J181" s="20">
        <f>BDI_SERVIÇOS_MATERIAIS!$E$11*G181</f>
        <v>13.993359348946466</v>
      </c>
      <c r="K181" s="20">
        <f t="shared" si="42"/>
        <v>270.70433582373289</v>
      </c>
      <c r="L181" s="33">
        <v>5</v>
      </c>
      <c r="M181" s="22">
        <v>1</v>
      </c>
      <c r="N181" s="22">
        <f t="shared" si="43"/>
        <v>1</v>
      </c>
      <c r="O181" s="22">
        <f t="shared" si="44"/>
        <v>0.2</v>
      </c>
      <c r="P181" s="33">
        <f t="shared" si="47"/>
        <v>30.999999999999972</v>
      </c>
      <c r="Q181" s="33"/>
      <c r="R181" s="33"/>
      <c r="S181" s="33"/>
      <c r="T181" s="33"/>
      <c r="U181" s="33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1">
        <f>K181</f>
        <v>270.70433582373289</v>
      </c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</row>
    <row r="182" spans="3:102" ht="28.8">
      <c r="C182" s="32" t="s">
        <v>395</v>
      </c>
      <c r="D182" s="31" t="s">
        <v>149</v>
      </c>
      <c r="E182" s="62">
        <v>177</v>
      </c>
      <c r="F182" s="32" t="str">
        <f>IF(D182="","",VLOOKUP(D182,Preços!B:C,2,FALSE))</f>
        <v>MANUTENÇÃO DE 3° NÍVEL E RECARGA DE EXTINTOR PORT PQS 4KG</v>
      </c>
      <c r="G182" s="20">
        <f>Preços!J430</f>
        <v>1330</v>
      </c>
      <c r="H182" s="20">
        <f>IF(D182="","",VLOOKUP(D182,Preços!B:M,8,FALSE))</f>
        <v>0</v>
      </c>
      <c r="I182" s="20">
        <f>H182*BDI_SERVIÇOS_MATERIAIS!$E$11</f>
        <v>0</v>
      </c>
      <c r="J182" s="20">
        <f>BDI_SERVIÇOS_MATERIAIS!$E$11*G182</f>
        <v>387.73266529372501</v>
      </c>
      <c r="K182" s="20">
        <f t="shared" si="42"/>
        <v>1717.7326652937249</v>
      </c>
      <c r="L182" s="33">
        <v>5</v>
      </c>
      <c r="M182" s="22">
        <v>1</v>
      </c>
      <c r="N182" s="22">
        <f t="shared" si="43"/>
        <v>1</v>
      </c>
      <c r="O182" s="22">
        <f t="shared" si="44"/>
        <v>0.2</v>
      </c>
      <c r="P182" s="33">
        <f t="shared" si="47"/>
        <v>31.199999999999971</v>
      </c>
      <c r="Q182" s="33"/>
      <c r="R182" s="33"/>
      <c r="S182" s="33"/>
      <c r="T182" s="33"/>
      <c r="U182" s="33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1">
        <f>K182</f>
        <v>1717.7326652937249</v>
      </c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</row>
    <row r="183" spans="3:102" ht="28.8">
      <c r="C183" s="32" t="s">
        <v>395</v>
      </c>
      <c r="D183" s="31" t="s">
        <v>150</v>
      </c>
      <c r="E183" s="62">
        <v>178</v>
      </c>
      <c r="F183" s="32" t="str">
        <f>IF(D183="","",VLOOKUP(D183,Preços!B:C,2,FALSE))</f>
        <v>MANUTENÇÃO DE 3° NÍVEL E RECARGA DE EXTINTOR PORT CO2 6KG</v>
      </c>
      <c r="G183" s="20">
        <f>Preços!J431</f>
        <v>445</v>
      </c>
      <c r="H183" s="20">
        <f>IF(D183="","",VLOOKUP(D183,Preços!B:M,8,FALSE))</f>
        <v>0</v>
      </c>
      <c r="I183" s="20">
        <f>H183*BDI_SERVIÇOS_MATERIAIS!$E$11</f>
        <v>0</v>
      </c>
      <c r="J183" s="20">
        <f>BDI_SERVIÇOS_MATERIAIS!$E$11*G183</f>
        <v>129.73010229752452</v>
      </c>
      <c r="K183" s="20">
        <f t="shared" si="42"/>
        <v>574.73010229752458</v>
      </c>
      <c r="L183" s="33">
        <v>5</v>
      </c>
      <c r="M183" s="22">
        <v>1</v>
      </c>
      <c r="N183" s="22">
        <f t="shared" si="43"/>
        <v>1</v>
      </c>
      <c r="O183" s="22">
        <f t="shared" si="44"/>
        <v>0.2</v>
      </c>
      <c r="P183" s="33">
        <f t="shared" si="47"/>
        <v>31.39999999999997</v>
      </c>
      <c r="Q183" s="33"/>
      <c r="R183" s="33"/>
      <c r="S183" s="33"/>
      <c r="T183" s="33"/>
      <c r="U183" s="33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V183" s="21">
        <f>K183</f>
        <v>574.73010229752458</v>
      </c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</row>
    <row r="184" spans="3:102" ht="28.8">
      <c r="C184" s="32" t="s">
        <v>396</v>
      </c>
      <c r="D184" s="31" t="s">
        <v>130</v>
      </c>
      <c r="E184" s="62">
        <v>179</v>
      </c>
      <c r="F184" s="32" t="str">
        <f>IF(D184="","",VLOOKUP(D184,Preços!B:C,2,FALSE))</f>
        <v>SINAL FOT. E7 ABRIGO DE MANGUEIRA 200X200</v>
      </c>
      <c r="G184" s="20">
        <f>Preços!J435</f>
        <v>336.83</v>
      </c>
      <c r="H184" s="20">
        <f>Preços!I434</f>
        <v>45.44</v>
      </c>
      <c r="I184" s="20">
        <f>H184*BDI_SERVIÇOS_MATERIAIS!$E$11</f>
        <v>13.247046850335988</v>
      </c>
      <c r="J184" s="20">
        <f>BDI_SERVIÇOS_MATERIAIS!$E$11*G184</f>
        <v>98.195483948034124</v>
      </c>
      <c r="K184" s="20">
        <f t="shared" si="42"/>
        <v>493.7125307983701</v>
      </c>
      <c r="L184" s="33">
        <v>2</v>
      </c>
      <c r="M184" s="22">
        <v>1</v>
      </c>
      <c r="N184" s="22">
        <f t="shared" si="43"/>
        <v>1</v>
      </c>
      <c r="O184" s="22">
        <f t="shared" si="44"/>
        <v>0.2</v>
      </c>
      <c r="P184" s="33">
        <f t="shared" si="47"/>
        <v>31.599999999999969</v>
      </c>
      <c r="Q184" s="33"/>
      <c r="R184" s="33"/>
      <c r="S184" s="33"/>
      <c r="T184" s="33"/>
      <c r="U184" s="33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0"/>
      <c r="AV184" s="21">
        <f>K184</f>
        <v>493.7125307983701</v>
      </c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</row>
    <row r="185" spans="3:102" ht="28.8">
      <c r="C185" s="32" t="s">
        <v>396</v>
      </c>
      <c r="D185" s="31" t="s">
        <v>131</v>
      </c>
      <c r="E185" s="62">
        <v>180</v>
      </c>
      <c r="F185" s="32" t="str">
        <f>IF(D185="","",VLOOKUP(D185,Preços!B:C,2,FALSE))</f>
        <v>SINAL FOT. E8 `H` HIDRANTE DE INCENDIO 200X200</v>
      </c>
      <c r="G185" s="20">
        <f>Preços!J438</f>
        <v>336.83</v>
      </c>
      <c r="H185" s="20">
        <f>Preços!I437</f>
        <v>45.44</v>
      </c>
      <c r="I185" s="20">
        <f>H185*BDI_SERVIÇOS_MATERIAIS!$E$11</f>
        <v>13.247046850335988</v>
      </c>
      <c r="J185" s="20">
        <f>BDI_SERVIÇOS_MATERIAIS!$E$11*G185</f>
        <v>98.195483948034124</v>
      </c>
      <c r="K185" s="20">
        <f t="shared" si="42"/>
        <v>493.7125307983701</v>
      </c>
      <c r="L185" s="33">
        <v>2</v>
      </c>
      <c r="M185" s="22">
        <v>1</v>
      </c>
      <c r="N185" s="22">
        <f t="shared" si="43"/>
        <v>1</v>
      </c>
      <c r="O185" s="22">
        <f t="shared" si="44"/>
        <v>0.2</v>
      </c>
      <c r="P185" s="33">
        <f t="shared" si="47"/>
        <v>31.799999999999969</v>
      </c>
      <c r="Q185" s="33"/>
      <c r="R185" s="33"/>
      <c r="S185" s="33"/>
      <c r="T185" s="33"/>
      <c r="U185" s="33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1">
        <f>K185</f>
        <v>493.7125307983701</v>
      </c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</row>
    <row r="186" spans="3:102" ht="28.8">
      <c r="C186" s="32" t="s">
        <v>396</v>
      </c>
      <c r="D186" s="31" t="s">
        <v>132</v>
      </c>
      <c r="E186" s="62">
        <v>181</v>
      </c>
      <c r="F186" s="32" t="str">
        <f>IF(D186="","",VLOOKUP(D186,Preços!B:C,2,FALSE))</f>
        <v>SINAL ADESIVA TIPO LACRE PARA HIDRANTE</v>
      </c>
      <c r="G186" s="20">
        <f>Preços!J441</f>
        <v>89.7</v>
      </c>
      <c r="H186" s="20">
        <f>Preços!I440</f>
        <v>45.44</v>
      </c>
      <c r="I186" s="20">
        <f>H186*BDI_SERVIÇOS_MATERIAIS!$E$11</f>
        <v>13.247046850335988</v>
      </c>
      <c r="J186" s="20">
        <f>BDI_SERVIÇOS_MATERIAIS!$E$11*G186</f>
        <v>26.150090283343708</v>
      </c>
      <c r="K186" s="20">
        <f t="shared" si="42"/>
        <v>174.53713713367966</v>
      </c>
      <c r="L186" s="33">
        <v>2</v>
      </c>
      <c r="M186" s="22">
        <v>1</v>
      </c>
      <c r="N186" s="22">
        <f t="shared" si="43"/>
        <v>1</v>
      </c>
      <c r="O186" s="22">
        <f t="shared" si="44"/>
        <v>0.2</v>
      </c>
      <c r="P186" s="33">
        <f t="shared" si="47"/>
        <v>31.999999999999968</v>
      </c>
      <c r="Q186" s="33"/>
      <c r="R186" s="33"/>
      <c r="S186" s="33"/>
      <c r="T186" s="33"/>
      <c r="U186" s="33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1">
        <f>K186</f>
        <v>174.53713713367966</v>
      </c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</row>
    <row r="187" spans="3:102" ht="28.8">
      <c r="C187" s="32" t="s">
        <v>396</v>
      </c>
      <c r="D187" s="31" t="s">
        <v>133</v>
      </c>
      <c r="E187" s="62">
        <v>182</v>
      </c>
      <c r="F187" s="32" t="str">
        <f>IF(D187="","",VLOOKUP(D187,Preços!B:C,2,FALSE))</f>
        <v>SINAL FOT. E2 COMANDO MANUAL ALARME 150X200</v>
      </c>
      <c r="G187" s="20">
        <f>Preços!J444</f>
        <v>237.5</v>
      </c>
      <c r="H187" s="20">
        <f>Preços!I443</f>
        <v>68.16</v>
      </c>
      <c r="I187" s="20">
        <f>H187*BDI_SERVIÇOS_MATERIAIS!$E$11</f>
        <v>19.870570275503979</v>
      </c>
      <c r="J187" s="20">
        <f>BDI_SERVIÇOS_MATERIAIS!$E$11*G187</f>
        <v>69.237975945308037</v>
      </c>
      <c r="K187" s="20">
        <f t="shared" si="42"/>
        <v>394.76854622081197</v>
      </c>
      <c r="L187" s="33">
        <v>3</v>
      </c>
      <c r="M187" s="22">
        <v>1</v>
      </c>
      <c r="N187" s="22">
        <f t="shared" si="43"/>
        <v>1</v>
      </c>
      <c r="O187" s="22">
        <f t="shared" si="44"/>
        <v>0.2</v>
      </c>
      <c r="P187" s="33">
        <f t="shared" si="47"/>
        <v>32.199999999999967</v>
      </c>
      <c r="Q187" s="33"/>
      <c r="R187" s="33"/>
      <c r="S187" s="33"/>
      <c r="T187" s="33"/>
      <c r="U187" s="33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1">
        <f>K187</f>
        <v>394.76854622081197</v>
      </c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</row>
    <row r="188" spans="3:102" ht="28.8">
      <c r="C188" s="32" t="s">
        <v>396</v>
      </c>
      <c r="D188" s="31" t="s">
        <v>134</v>
      </c>
      <c r="E188" s="62">
        <v>183</v>
      </c>
      <c r="F188" s="32" t="str">
        <f>IF(D188="","",VLOOKUP(D188,Preços!B:C,2,FALSE))</f>
        <v>SINAL FOT. E5 EXTINTOR DE INCENDIO 200x200</v>
      </c>
      <c r="G188" s="20">
        <f>Preços!J447</f>
        <v>1373.23</v>
      </c>
      <c r="H188" s="20">
        <f>Preços!I446</f>
        <v>113.6</v>
      </c>
      <c r="I188" s="20">
        <f>H188*BDI_SERVIÇOS_MATERIAIS!$E$11</f>
        <v>33.117617125839971</v>
      </c>
      <c r="J188" s="20">
        <f>BDI_SERVIÇOS_MATERIAIS!$E$11*G188</f>
        <v>400.33543455736992</v>
      </c>
      <c r="K188" s="20">
        <f t="shared" si="42"/>
        <v>1920.28305168321</v>
      </c>
      <c r="L188" s="33">
        <v>5</v>
      </c>
      <c r="M188" s="22">
        <v>1</v>
      </c>
      <c r="N188" s="22">
        <f t="shared" si="43"/>
        <v>1</v>
      </c>
      <c r="O188" s="22">
        <f t="shared" si="44"/>
        <v>0.2</v>
      </c>
      <c r="P188" s="33">
        <f t="shared" si="47"/>
        <v>32.39999999999997</v>
      </c>
      <c r="Q188" s="33"/>
      <c r="R188" s="33"/>
      <c r="S188" s="33"/>
      <c r="T188" s="33"/>
      <c r="U188" s="33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1">
        <f>K188</f>
        <v>1920.28305168321</v>
      </c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</row>
    <row r="189" spans="3:102" ht="28.8">
      <c r="C189" s="32" t="s">
        <v>396</v>
      </c>
      <c r="D189" s="31" t="s">
        <v>135</v>
      </c>
      <c r="E189" s="62">
        <v>184</v>
      </c>
      <c r="F189" s="32" t="str">
        <f>IF(D189="","",VLOOKUP(D189,Preços!B:C,2,FALSE))</f>
        <v>SINAL FOT. S12 INDICAÇÃO DE SAIDA 200X100</v>
      </c>
      <c r="G189" s="20">
        <f>Preços!J450</f>
        <v>250</v>
      </c>
      <c r="H189" s="20">
        <f>Preços!I449</f>
        <v>22.72</v>
      </c>
      <c r="I189" s="20">
        <f>H189*BDI_SERVIÇOS_MATERIAIS!$E$11</f>
        <v>6.6235234251679938</v>
      </c>
      <c r="J189" s="20">
        <f>BDI_SERVIÇOS_MATERIAIS!$E$11*G189</f>
        <v>72.882079942429513</v>
      </c>
      <c r="K189" s="20">
        <f t="shared" si="42"/>
        <v>352.22560336759756</v>
      </c>
      <c r="L189" s="33">
        <v>1</v>
      </c>
      <c r="M189" s="22">
        <v>1</v>
      </c>
      <c r="N189" s="22">
        <f t="shared" si="43"/>
        <v>1</v>
      </c>
      <c r="O189" s="22">
        <f t="shared" si="44"/>
        <v>0.2</v>
      </c>
      <c r="P189" s="33">
        <f t="shared" si="47"/>
        <v>32.599999999999973</v>
      </c>
      <c r="Q189" s="33"/>
      <c r="R189" s="33"/>
      <c r="S189" s="33"/>
      <c r="T189" s="33"/>
      <c r="U189" s="33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1">
        <f>K189</f>
        <v>352.22560336759756</v>
      </c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</row>
    <row r="190" spans="3:102" ht="28.8">
      <c r="C190" s="32" t="s">
        <v>396</v>
      </c>
      <c r="D190" s="31" t="s">
        <v>136</v>
      </c>
      <c r="E190" s="62">
        <v>185</v>
      </c>
      <c r="F190" s="32" t="str">
        <f>IF(D190="","",VLOOKUP(D190,Preços!B:C,2,FALSE))</f>
        <v>SINAL FOT. S1 ROTA DE SAIDA `À DIREITA` 380x180</v>
      </c>
      <c r="G190" s="20">
        <f>Preços!J453</f>
        <v>1512.5</v>
      </c>
      <c r="H190" s="20">
        <f>Preços!I452</f>
        <v>22.72</v>
      </c>
      <c r="I190" s="20">
        <f>H190*BDI_SERVIÇOS_MATERIAIS!$E$11</f>
        <v>6.6235234251679938</v>
      </c>
      <c r="J190" s="20">
        <f>BDI_SERVIÇOS_MATERIAIS!$E$11*G190</f>
        <v>440.93658365169853</v>
      </c>
      <c r="K190" s="20">
        <f t="shared" si="42"/>
        <v>1982.7801070768667</v>
      </c>
      <c r="L190" s="33">
        <v>15</v>
      </c>
      <c r="M190" s="22">
        <v>1</v>
      </c>
      <c r="N190" s="22">
        <f t="shared" si="43"/>
        <v>2</v>
      </c>
      <c r="O190" s="22">
        <f t="shared" si="44"/>
        <v>0.4</v>
      </c>
      <c r="P190" s="33">
        <f t="shared" si="47"/>
        <v>32.999999999999972</v>
      </c>
      <c r="Q190" s="33"/>
      <c r="R190" s="33"/>
      <c r="S190" s="33"/>
      <c r="T190" s="33"/>
      <c r="U190" s="33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1">
        <f>K190</f>
        <v>1982.7801070768667</v>
      </c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</row>
    <row r="191" spans="3:102" ht="28.8">
      <c r="C191" s="32" t="s">
        <v>396</v>
      </c>
      <c r="D191" s="31" t="s">
        <v>137</v>
      </c>
      <c r="E191" s="62">
        <v>186</v>
      </c>
      <c r="F191" s="32" t="str">
        <f>IF(D191="","",VLOOKUP(D191,Preços!B:C,2,FALSE))</f>
        <v>SINAL FOT. S2 ROTA DE SAIDA `À ESQUERDA`380x180</v>
      </c>
      <c r="G191" s="20">
        <f>Preços!J456</f>
        <v>1387.5</v>
      </c>
      <c r="H191" s="20">
        <f>Preços!I455</f>
        <v>295.36</v>
      </c>
      <c r="I191" s="20">
        <f>H191*BDI_SERVIÇOS_MATERIAIS!$E$11</f>
        <v>86.105804527183921</v>
      </c>
      <c r="J191" s="20">
        <f>BDI_SERVIÇOS_MATERIAIS!$E$11*G191</f>
        <v>404.49554368048376</v>
      </c>
      <c r="K191" s="20">
        <f>G191+H191+I191+J191</f>
        <v>2173.4613482076679</v>
      </c>
      <c r="L191" s="33">
        <v>13</v>
      </c>
      <c r="M191" s="22">
        <v>1</v>
      </c>
      <c r="N191" s="22">
        <f t="shared" si="43"/>
        <v>2</v>
      </c>
      <c r="O191" s="22">
        <f t="shared" si="44"/>
        <v>0.4</v>
      </c>
      <c r="P191" s="33">
        <f t="shared" si="47"/>
        <v>33.39999999999997</v>
      </c>
      <c r="Q191" s="33"/>
      <c r="R191" s="33"/>
      <c r="S191" s="33"/>
      <c r="T191" s="33"/>
      <c r="U191" s="33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1">
        <f>K191</f>
        <v>2173.4613482076679</v>
      </c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</row>
    <row r="192" spans="3:102" ht="28.8">
      <c r="C192" s="32" t="s">
        <v>396</v>
      </c>
      <c r="D192" s="31" t="s">
        <v>138</v>
      </c>
      <c r="E192" s="62">
        <v>187</v>
      </c>
      <c r="F192" s="32" t="str">
        <f>IF(D192="","",VLOOKUP(D192,Preços!B:C,2,FALSE))</f>
        <v>SINAL FOT. S3 ROTA DE SAIDA `SEGUIR ADIANTE CIMA` 380x180</v>
      </c>
      <c r="G192" s="20">
        <f>Preços!J459</f>
        <v>50</v>
      </c>
      <c r="H192" s="20">
        <f>Preços!I458</f>
        <v>22.72</v>
      </c>
      <c r="I192" s="20">
        <f>H192*BDI_SERVIÇOS_MATERIAIS!$E$11</f>
        <v>6.6235234251679938</v>
      </c>
      <c r="J192" s="20">
        <f>BDI_SERVIÇOS_MATERIAIS!$E$11*G192</f>
        <v>14.576415988485902</v>
      </c>
      <c r="K192" s="20">
        <f>G192+H192+I192+J192</f>
        <v>93.919939413653893</v>
      </c>
      <c r="L192" s="33">
        <v>1</v>
      </c>
      <c r="M192" s="22">
        <v>1</v>
      </c>
      <c r="N192" s="22">
        <f t="shared" si="43"/>
        <v>1</v>
      </c>
      <c r="O192" s="22">
        <f t="shared" si="44"/>
        <v>0.2</v>
      </c>
      <c r="P192" s="33">
        <f t="shared" si="47"/>
        <v>33.599999999999973</v>
      </c>
      <c r="Q192" s="33"/>
      <c r="R192" s="33"/>
      <c r="S192" s="33"/>
      <c r="T192" s="33"/>
      <c r="U192" s="33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1">
        <f>K192</f>
        <v>93.919939413653893</v>
      </c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</row>
    <row r="193" spans="3:104" ht="28.8">
      <c r="C193" s="32" t="s">
        <v>396</v>
      </c>
      <c r="D193" s="31" t="s">
        <v>139</v>
      </c>
      <c r="E193" s="62">
        <v>188</v>
      </c>
      <c r="F193" s="32" t="str">
        <f>IF(D193="","",VLOOKUP(D193,Preços!B:C,2,FALSE))</f>
        <v>SINAL FOT. S9 ACESSO ESCADA ESQUERDA `DESCER` 200X100</v>
      </c>
      <c r="G193" s="20">
        <f>Preços!J462</f>
        <v>37.5</v>
      </c>
      <c r="H193" s="20">
        <f>Preços!I461</f>
        <v>22.72</v>
      </c>
      <c r="I193" s="20">
        <f>H193*BDI_SERVIÇOS_MATERIAIS!$E$11</f>
        <v>6.6235234251679938</v>
      </c>
      <c r="J193" s="20">
        <f>BDI_SERVIÇOS_MATERIAIS!$E$11*G193</f>
        <v>10.932311991364427</v>
      </c>
      <c r="K193" s="20">
        <f>G193+H193+I193+J193</f>
        <v>77.775835416532416</v>
      </c>
      <c r="L193" s="33">
        <v>1</v>
      </c>
      <c r="M193" s="22">
        <v>2</v>
      </c>
      <c r="N193" s="22">
        <f t="shared" si="43"/>
        <v>1</v>
      </c>
      <c r="O193" s="22">
        <f t="shared" si="44"/>
        <v>0.2</v>
      </c>
      <c r="P193" s="33">
        <f t="shared" si="47"/>
        <v>33.799999999999976</v>
      </c>
      <c r="Q193" s="33"/>
      <c r="R193" s="33"/>
      <c r="S193" s="33"/>
      <c r="T193" s="33"/>
      <c r="U193" s="33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1">
        <f>K193</f>
        <v>77.775835416532416</v>
      </c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</row>
    <row r="194" spans="3:104" ht="43.2">
      <c r="C194" s="32" t="s">
        <v>573</v>
      </c>
      <c r="D194" s="31" t="s">
        <v>563</v>
      </c>
      <c r="E194" s="62">
        <v>189</v>
      </c>
      <c r="F194" s="32" t="str">
        <f>IF(D194="","",VLOOKUP(D194,Preços!B:C,2,FALSE))</f>
        <v>PORTA CORTA FOGO COM TRRF 60MIN FORNECIMENTO E INSTALAÇÃO 90X210X5</v>
      </c>
      <c r="G194" s="20">
        <f>Preços!J468</f>
        <v>3175</v>
      </c>
      <c r="H194" s="20">
        <f>Preços!I468</f>
        <v>0</v>
      </c>
      <c r="I194" s="20">
        <f>H194*BDI_SERVIÇOS_MATERIAIS!$E$11</f>
        <v>0</v>
      </c>
      <c r="J194" s="20">
        <f>BDI_SERVIÇOS_MATERIAIS!$E$11*G194</f>
        <v>925.60241526885477</v>
      </c>
      <c r="K194" s="20">
        <f t="shared" ref="K194:K195" si="48">G194+H194+I194+J194</f>
        <v>4100.6024152688551</v>
      </c>
      <c r="L194" s="33">
        <v>6</v>
      </c>
      <c r="M194" s="22">
        <v>1</v>
      </c>
      <c r="N194" s="22">
        <v>1</v>
      </c>
      <c r="O194" s="22">
        <v>0.2</v>
      </c>
      <c r="P194" s="33">
        <f t="shared" si="47"/>
        <v>33.999999999999979</v>
      </c>
      <c r="Q194" s="33"/>
      <c r="R194" s="33"/>
      <c r="S194" s="33"/>
      <c r="T194" s="33"/>
      <c r="U194" s="33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0"/>
      <c r="AY194" s="75">
        <f>K194</f>
        <v>4100.6024152688551</v>
      </c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T194" s="29"/>
      <c r="CU194" s="29"/>
      <c r="CV194" s="29"/>
      <c r="CW194" s="29"/>
      <c r="CX194" s="29"/>
    </row>
    <row r="195" spans="3:104" ht="43.2">
      <c r="C195" s="32" t="s">
        <v>573</v>
      </c>
      <c r="D195" s="31" t="s">
        <v>566</v>
      </c>
      <c r="E195" s="62">
        <v>190</v>
      </c>
      <c r="F195" s="32" t="str">
        <f>IF(D195="","",VLOOKUP(D195,Preços!B:C,2,FALSE))</f>
        <v>PORTA CORTA FOGO COM TRRF 60MIN FORNECIMENTO E INSTALAÇÃO  230X210X5</v>
      </c>
      <c r="G195" s="20">
        <f>Preços!J469</f>
        <v>3205</v>
      </c>
      <c r="H195" s="20">
        <f>Preços!I469</f>
        <v>0</v>
      </c>
      <c r="I195" s="20">
        <f>H195*BDI_SERVIÇOS_MATERIAIS!$E$11</f>
        <v>0</v>
      </c>
      <c r="J195" s="20">
        <f>BDI_SERVIÇOS_MATERIAIS!$E$11*G195</f>
        <v>934.34826486194629</v>
      </c>
      <c r="K195" s="20">
        <f t="shared" si="48"/>
        <v>4139.3482648619465</v>
      </c>
      <c r="L195" s="33">
        <v>6</v>
      </c>
      <c r="M195" s="22">
        <v>1</v>
      </c>
      <c r="N195" s="22">
        <v>1</v>
      </c>
      <c r="O195" s="22">
        <v>0.2</v>
      </c>
      <c r="P195" s="33">
        <f t="shared" si="47"/>
        <v>34.199999999999982</v>
      </c>
      <c r="Q195" s="33"/>
      <c r="R195" s="33"/>
      <c r="S195" s="33"/>
      <c r="T195" s="33"/>
      <c r="U195" s="33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0"/>
      <c r="AY195" s="75">
        <f>K195</f>
        <v>4139.3482648619465</v>
      </c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T195" s="29"/>
      <c r="CU195" s="29"/>
      <c r="CV195" s="29"/>
      <c r="CW195" s="29"/>
      <c r="CX195" s="29"/>
    </row>
    <row r="196" spans="3:104" ht="28.8">
      <c r="C196" s="32" t="s">
        <v>352</v>
      </c>
      <c r="D196" s="31" t="s">
        <v>365</v>
      </c>
      <c r="E196" s="62">
        <v>191</v>
      </c>
      <c r="F196" s="32" t="str">
        <f>IF(D196="","",VLOOKUP(D196,Preços!B:C,2,FALSE))</f>
        <v>COMISSIONAMENTO DO SISTEMA DE CHUVEIROS AUTOMÁTICOS</v>
      </c>
      <c r="G196" s="20">
        <v>0</v>
      </c>
      <c r="H196" s="20">
        <f>Preços!I480</f>
        <v>1721.52</v>
      </c>
      <c r="I196" s="20">
        <f>H196*BDI_SERVIÇOS_MATERIAIS!$E$11</f>
        <v>501.87183304996501</v>
      </c>
      <c r="J196" s="20">
        <f>BDI_SERVIÇOS_MATERIAIS!$E$11*G196</f>
        <v>0</v>
      </c>
      <c r="K196" s="20">
        <f>G196+H196+I196+J196</f>
        <v>2223.391833049965</v>
      </c>
      <c r="L196" s="33">
        <v>16</v>
      </c>
      <c r="M196" s="22">
        <v>1</v>
      </c>
      <c r="N196" s="22">
        <f t="shared" si="43"/>
        <v>2</v>
      </c>
      <c r="O196" s="22">
        <f t="shared" si="44"/>
        <v>0.4</v>
      </c>
      <c r="P196" s="33">
        <f>O196+P132</f>
        <v>80.451884524999954</v>
      </c>
      <c r="Q196" s="33"/>
      <c r="R196" s="33"/>
      <c r="S196" s="33"/>
      <c r="T196" s="33"/>
      <c r="U196" s="33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0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T196" s="21">
        <f>K196</f>
        <v>2223.391833049965</v>
      </c>
      <c r="CU196" s="29"/>
      <c r="CV196" s="29"/>
      <c r="CW196" s="29"/>
      <c r="CX196" s="29"/>
    </row>
    <row r="197" spans="3:104" ht="28.8">
      <c r="C197" s="32" t="s">
        <v>352</v>
      </c>
      <c r="D197" s="31" t="s">
        <v>361</v>
      </c>
      <c r="E197" s="62">
        <v>192</v>
      </c>
      <c r="F197" s="32" t="str">
        <f>IF(D197="","",VLOOKUP(D197,Preços!B:C,2,FALSE))</f>
        <v>COMISSIONAMENTO DO SISTEMA DE ALARME</v>
      </c>
      <c r="G197" s="20">
        <v>0</v>
      </c>
      <c r="H197" s="20">
        <f>Preços!I476</f>
        <v>1736.56</v>
      </c>
      <c r="I197" s="20">
        <f>H197*BDI_SERVIÇOS_MATERIAIS!$E$11</f>
        <v>506.25641897930154</v>
      </c>
      <c r="J197" s="20">
        <f>BDI_SERVIÇOS_MATERIAIS!$E$11*G197</f>
        <v>0</v>
      </c>
      <c r="K197" s="20">
        <f>G197+H197+I197+J197</f>
        <v>2242.8164189793015</v>
      </c>
      <c r="L197" s="33">
        <v>16</v>
      </c>
      <c r="M197" s="22">
        <v>1</v>
      </c>
      <c r="N197" s="22">
        <f t="shared" ref="N197" si="49">ROUNDUP((L197/M197)/$D$2,0)</f>
        <v>2</v>
      </c>
      <c r="O197" s="22">
        <f t="shared" ref="O197" si="50">ROUNDUP(N197/5,1)</f>
        <v>0.4</v>
      </c>
      <c r="P197" s="33">
        <f>P190+O197</f>
        <v>33.39999999999997</v>
      </c>
      <c r="Q197" s="33"/>
      <c r="R197" s="33"/>
      <c r="S197" s="33"/>
      <c r="T197" s="33"/>
      <c r="U197" s="33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0"/>
      <c r="AS197" s="29"/>
      <c r="AT197" s="29"/>
      <c r="AU197" s="29"/>
      <c r="AV197" s="29"/>
      <c r="AW197" s="29"/>
      <c r="AX197" s="21">
        <f>K197</f>
        <v>2242.8164189793015</v>
      </c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</row>
    <row r="198" spans="3:104" ht="28.8">
      <c r="C198" s="32" t="s">
        <v>352</v>
      </c>
      <c r="D198" s="31" t="s">
        <v>354</v>
      </c>
      <c r="E198" s="62">
        <v>193</v>
      </c>
      <c r="F198" s="32" t="str">
        <f>IF(D198="","",VLOOKUP(D198,Preços!B:C,2,FALSE))</f>
        <v>COMISSIONAMENTO DO SISTEMA DE HIDRANTES</v>
      </c>
      <c r="G198" s="20">
        <v>0</v>
      </c>
      <c r="H198" s="20">
        <f>Preços!I472</f>
        <v>860.76</v>
      </c>
      <c r="I198" s="20">
        <f>H198*BDI_SERVIÇOS_MATERIAIS!$E$11</f>
        <v>250.9359165249825</v>
      </c>
      <c r="J198" s="20">
        <f>BDI_SERVIÇOS_MATERIAIS!$E$11*G198</f>
        <v>0</v>
      </c>
      <c r="K198" s="20">
        <f t="shared" ref="K198:K199" si="51">G198+H198+I198+J198</f>
        <v>1111.6959165249825</v>
      </c>
      <c r="L198" s="33">
        <v>8</v>
      </c>
      <c r="M198" s="22">
        <v>1</v>
      </c>
      <c r="N198" s="22">
        <f t="shared" ref="N198" si="52">ROUNDUP((L198/M198)/$D$2,0)</f>
        <v>1</v>
      </c>
      <c r="O198" s="22">
        <f t="shared" ref="O198" si="53">ROUNDUP(N198/5,1)</f>
        <v>0.2</v>
      </c>
      <c r="P198" s="33">
        <f>P196+O198</f>
        <v>80.651884524999957</v>
      </c>
      <c r="Q198" s="33"/>
      <c r="R198" s="33"/>
      <c r="S198" s="33"/>
      <c r="T198" s="33"/>
      <c r="U198" s="33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0"/>
      <c r="AS198" s="29"/>
      <c r="AT198" s="29"/>
      <c r="AU198" s="29"/>
      <c r="AV198" s="29"/>
      <c r="AW198" s="29"/>
      <c r="AX198" s="21">
        <f>K198</f>
        <v>1111.6959165249825</v>
      </c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</row>
    <row r="199" spans="3:104">
      <c r="C199" s="32" t="s">
        <v>481</v>
      </c>
      <c r="D199" s="31" t="s">
        <v>482</v>
      </c>
      <c r="E199" s="62">
        <v>194</v>
      </c>
      <c r="F199" s="32" t="s">
        <v>481</v>
      </c>
      <c r="G199" s="20">
        <f>Preços!J486</f>
        <v>8040</v>
      </c>
      <c r="H199" s="20">
        <f>Preços!I486</f>
        <v>137987.19999999998</v>
      </c>
      <c r="I199" s="20">
        <f>H199*BDI_SERVIÇOS_MATERIAIS!$E$11</f>
        <v>40227.176565728034</v>
      </c>
      <c r="J199" s="20">
        <f>BDI_SERVIÇOS_MATERIAIS!$E$11*G199</f>
        <v>2343.887690948533</v>
      </c>
      <c r="K199" s="20">
        <f t="shared" si="51"/>
        <v>188598.26425667654</v>
      </c>
      <c r="L199" s="33"/>
      <c r="M199" s="22"/>
      <c r="N199" s="22" t="s">
        <v>428</v>
      </c>
      <c r="O199" s="22" t="s">
        <v>428</v>
      </c>
      <c r="P199" s="33" t="s">
        <v>428</v>
      </c>
      <c r="Q199" s="33"/>
      <c r="R199" s="33"/>
      <c r="S199" s="33"/>
      <c r="T199" s="33"/>
      <c r="U199" s="33"/>
      <c r="V199" s="29"/>
      <c r="W199" s="29"/>
      <c r="X199" s="29"/>
      <c r="Y199" s="29"/>
      <c r="Z199" s="76">
        <f>(5/80)*K199</f>
        <v>11787.391516042284</v>
      </c>
      <c r="AA199" s="29"/>
      <c r="AB199" s="29"/>
      <c r="AC199" s="29"/>
      <c r="AD199" s="29"/>
      <c r="AE199" s="20">
        <f>(5/80)*K199</f>
        <v>11787.391516042284</v>
      </c>
      <c r="AF199" s="29"/>
      <c r="AG199" s="29"/>
      <c r="AH199" s="29"/>
      <c r="AI199" s="29"/>
      <c r="AJ199" s="20">
        <f>(5/80)*K199</f>
        <v>11787.391516042284</v>
      </c>
      <c r="AK199" s="29"/>
      <c r="AL199" s="29"/>
      <c r="AM199" s="29"/>
      <c r="AN199" s="29"/>
      <c r="AO199" s="20">
        <f>(5/80)*K199</f>
        <v>11787.391516042284</v>
      </c>
      <c r="AP199" s="29"/>
      <c r="AQ199" s="29"/>
      <c r="AR199" s="20"/>
      <c r="AS199" s="29"/>
      <c r="AT199" s="20">
        <f>(5/80)*K199</f>
        <v>11787.391516042284</v>
      </c>
      <c r="AU199" s="29"/>
      <c r="AV199" s="29"/>
      <c r="AW199" s="29"/>
      <c r="AX199" s="21"/>
      <c r="AY199" s="20">
        <f>(5/80)*K199</f>
        <v>11787.391516042284</v>
      </c>
      <c r="AZ199" s="29"/>
      <c r="BA199" s="29"/>
      <c r="BB199" s="29"/>
      <c r="BC199" s="29"/>
      <c r="BD199" s="20">
        <f>(5/80)*K199</f>
        <v>11787.391516042284</v>
      </c>
      <c r="BE199" s="29"/>
      <c r="BF199" s="29"/>
      <c r="BG199" s="29"/>
      <c r="BH199" s="29"/>
      <c r="BI199" s="20">
        <f>(5/80)*K199</f>
        <v>11787.391516042284</v>
      </c>
      <c r="BJ199" s="29"/>
      <c r="BK199" s="29"/>
      <c r="BL199" s="29"/>
      <c r="BM199" s="29"/>
      <c r="BN199" s="20">
        <f>(5/80)*K199</f>
        <v>11787.391516042284</v>
      </c>
      <c r="BO199" s="29"/>
      <c r="BP199" s="29"/>
      <c r="BQ199" s="29"/>
      <c r="BR199" s="29"/>
      <c r="BS199" s="20">
        <f>(5/80)*K199</f>
        <v>11787.391516042284</v>
      </c>
      <c r="BT199" s="29"/>
      <c r="BU199" s="29"/>
      <c r="BV199" s="29"/>
      <c r="BW199" s="29"/>
      <c r="BX199" s="20">
        <f>(5/80)*K199</f>
        <v>11787.391516042284</v>
      </c>
      <c r="BY199" s="29"/>
      <c r="BZ199" s="29"/>
      <c r="CA199" s="29"/>
      <c r="CB199" s="29"/>
      <c r="CC199" s="20">
        <f>(5/80)*K199</f>
        <v>11787.391516042284</v>
      </c>
      <c r="CD199" s="29"/>
      <c r="CE199" s="29"/>
      <c r="CF199" s="29"/>
      <c r="CG199" s="29"/>
      <c r="CH199" s="20">
        <f>(5/80)*K199</f>
        <v>11787.391516042284</v>
      </c>
      <c r="CI199" s="29"/>
      <c r="CJ199" s="29"/>
      <c r="CK199" s="29"/>
      <c r="CL199" s="29"/>
      <c r="CM199" s="20">
        <f>(5/80)*K199</f>
        <v>11787.391516042284</v>
      </c>
      <c r="CN199" s="29"/>
      <c r="CO199" s="29"/>
      <c r="CP199" s="29"/>
      <c r="CQ199" s="29"/>
      <c r="CR199" s="29"/>
      <c r="CS199" s="29"/>
      <c r="CU199" s="20">
        <f>(10/80)*K199</f>
        <v>23574.783032084568</v>
      </c>
      <c r="CV199" s="29"/>
      <c r="CW199" s="29"/>
      <c r="CX199" s="29"/>
      <c r="CZ199" s="129"/>
    </row>
    <row r="200" spans="3:104" ht="43.2">
      <c r="C200" s="32" t="s">
        <v>369</v>
      </c>
      <c r="D200" s="31" t="s">
        <v>371</v>
      </c>
      <c r="E200" s="62">
        <v>195</v>
      </c>
      <c r="F200" s="32" t="str">
        <f>IF(D200="","",VLOOKUP(D200,Preços!B:C,2,FALSE))</f>
        <v>TREINAMENTO DE FORMAÇÃO DE BRIGADA DE INCÊNDIO NÍVEL AVANÇADO</v>
      </c>
      <c r="G200" s="20">
        <v>0</v>
      </c>
      <c r="H200" s="20">
        <f>Preços!I491</f>
        <v>2473.92</v>
      </c>
      <c r="I200" s="20">
        <f>H200*BDI_SERVIÇOS_MATERIAIS!$E$11</f>
        <v>721.21774084470087</v>
      </c>
      <c r="J200" s="20">
        <f>BDI_SERVIÇOS_MATERIAIS!$E$11*G200</f>
        <v>0</v>
      </c>
      <c r="K200" s="20">
        <f>G200+H200+I200+J200</f>
        <v>3195.1377408447011</v>
      </c>
      <c r="L200" s="33">
        <v>48</v>
      </c>
      <c r="M200" s="22">
        <v>1</v>
      </c>
      <c r="N200" s="22">
        <f t="shared" si="43"/>
        <v>6</v>
      </c>
      <c r="O200" s="22">
        <f t="shared" si="44"/>
        <v>1.2</v>
      </c>
      <c r="P200" s="33">
        <f>P196+O200</f>
        <v>81.651884524999957</v>
      </c>
      <c r="Q200" s="33"/>
      <c r="R200" s="33"/>
      <c r="S200" s="33"/>
      <c r="T200" s="33"/>
      <c r="U200" s="33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0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U200" s="21">
        <f>K200</f>
        <v>3195.1377408447011</v>
      </c>
      <c r="CV200" s="29"/>
      <c r="CW200" s="29"/>
      <c r="CX200" s="29"/>
    </row>
    <row r="201" spans="3:104">
      <c r="C201" s="32"/>
      <c r="D201" s="31"/>
      <c r="E201" s="62"/>
      <c r="F201" s="32"/>
      <c r="G201" s="20"/>
      <c r="H201" s="20"/>
      <c r="I201" s="20"/>
      <c r="J201" s="20"/>
      <c r="K201" s="20"/>
      <c r="L201" s="33"/>
      <c r="M201" s="22"/>
      <c r="N201" s="22"/>
      <c r="O201" s="22"/>
      <c r="P201" s="33"/>
      <c r="Q201" s="33"/>
      <c r="R201" s="33"/>
      <c r="S201" s="33"/>
      <c r="T201" s="33"/>
      <c r="U201" s="33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0"/>
      <c r="AS201" s="29"/>
      <c r="AT201" s="29"/>
      <c r="AU201" s="29"/>
      <c r="AV201" s="29"/>
      <c r="AW201" s="29"/>
      <c r="AX201" s="21">
        <f>K201</f>
        <v>0</v>
      </c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</row>
    <row r="202" spans="3:104">
      <c r="C202" s="32" t="s">
        <v>372</v>
      </c>
      <c r="D202" s="31" t="s">
        <v>373</v>
      </c>
      <c r="E202" s="62">
        <v>196</v>
      </c>
      <c r="F202" s="32" t="str">
        <f>IF(D202="","",VLOOKUP(D202,Preços!B:C,2,FALSE))</f>
        <v>PROJETO AS BUILT</v>
      </c>
      <c r="G202" s="20">
        <v>0</v>
      </c>
      <c r="H202" s="20">
        <f>Preços!I493</f>
        <v>9410.5</v>
      </c>
      <c r="I202" s="20">
        <f>H202*BDI_SERVIÇOS_MATERIAIS!$E$11</f>
        <v>2743.4272531929319</v>
      </c>
      <c r="J202" s="20">
        <f>BDI_SERVIÇOS_MATERIAIS!$E$11*G202</f>
        <v>0</v>
      </c>
      <c r="K202" s="20">
        <f>G202+H202+I202+J202</f>
        <v>12153.927253192931</v>
      </c>
      <c r="L202" s="33">
        <v>200</v>
      </c>
      <c r="M202" s="22">
        <v>1</v>
      </c>
      <c r="N202" s="22">
        <f t="shared" si="43"/>
        <v>25</v>
      </c>
      <c r="O202" s="22">
        <f t="shared" si="44"/>
        <v>5</v>
      </c>
      <c r="P202" s="33">
        <f>P198+O202</f>
        <v>85.651884524999957</v>
      </c>
      <c r="Q202" s="33"/>
      <c r="R202" s="33"/>
      <c r="S202" s="33"/>
      <c r="T202" s="33"/>
      <c r="U202" s="33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0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66"/>
      <c r="CT202" s="66"/>
      <c r="CU202" s="66"/>
      <c r="CV202" s="66"/>
      <c r="CW202" s="66"/>
      <c r="CX202" s="21">
        <f>K202</f>
        <v>12153.927253192931</v>
      </c>
    </row>
    <row r="203" spans="3:104">
      <c r="G203" s="23"/>
      <c r="H203" s="23"/>
      <c r="I203" s="23"/>
      <c r="J203" s="23"/>
      <c r="K203" s="23"/>
      <c r="M203" s="30"/>
      <c r="P203" s="54"/>
      <c r="Q203" s="54"/>
      <c r="R203" s="54"/>
      <c r="S203" s="54"/>
      <c r="T203" s="54"/>
      <c r="U203" s="54"/>
      <c r="AV203" s="23"/>
    </row>
    <row r="205" spans="3:104">
      <c r="F205" s="32" t="s">
        <v>161</v>
      </c>
      <c r="G205" s="26">
        <f>SUM(G6:G45)+SUM(G133:G202)</f>
        <v>1944104.2569176669</v>
      </c>
      <c r="H205" s="26">
        <f>SUM(H6:H45)+SUM(H133:H202)</f>
        <v>629362.79676000006</v>
      </c>
      <c r="I205" s="26">
        <f>SUM(I6:I45)+SUM(I133:I202)</f>
        <v>183477.07866501331</v>
      </c>
      <c r="J205" s="26">
        <f>SUM(J6:J45)+SUM(J133:J202)</f>
        <v>566761.44747636362</v>
      </c>
      <c r="K205" s="26">
        <f>SUM(K6:K202)</f>
        <v>3323705.5798190418</v>
      </c>
      <c r="Q205" s="20"/>
      <c r="R205" s="20"/>
      <c r="S205" s="20"/>
      <c r="T205" s="20"/>
      <c r="U205" s="20">
        <f>SUM(Q6:U202)</f>
        <v>24307.854506385862</v>
      </c>
      <c r="V205" s="20"/>
      <c r="W205" s="20"/>
      <c r="X205" s="20"/>
      <c r="Y205" s="20"/>
      <c r="Z205" s="20">
        <f>SUM(V6:Z202)</f>
        <v>205694.20661399388</v>
      </c>
      <c r="AA205" s="20"/>
      <c r="AB205" s="20"/>
      <c r="AC205" s="20"/>
      <c r="AD205" s="20"/>
      <c r="AE205" s="20">
        <f>SUM(AA6:AE202)</f>
        <v>571330.83928467974</v>
      </c>
      <c r="AF205" s="20"/>
      <c r="AG205" s="20"/>
      <c r="AH205" s="20"/>
      <c r="AI205" s="20"/>
      <c r="AJ205" s="20">
        <f>SUM(AF6:AJ202)</f>
        <v>247775.7432578578</v>
      </c>
      <c r="AK205" s="20"/>
      <c r="AL205" s="20"/>
      <c r="AM205" s="20"/>
      <c r="AN205" s="20"/>
      <c r="AO205" s="20">
        <f>SUM(AK6:AO202)</f>
        <v>469911.7605876071</v>
      </c>
      <c r="AP205" s="20"/>
      <c r="AQ205" s="20"/>
      <c r="AR205" s="20"/>
      <c r="AS205" s="20"/>
      <c r="AT205" s="20">
        <f>SUM(AP6:AT202)</f>
        <v>238041.26146093602</v>
      </c>
      <c r="AU205" s="20"/>
      <c r="AV205" s="20"/>
      <c r="AW205" s="20"/>
      <c r="AX205" s="20"/>
      <c r="AY205" s="20">
        <f>SUM(AU6:AY202)</f>
        <v>216340.48544763582</v>
      </c>
      <c r="AZ205" s="20"/>
      <c r="BA205" s="20"/>
      <c r="BB205" s="20"/>
      <c r="BC205" s="20"/>
      <c r="BD205" s="20">
        <f>SUM(AZ6:BD202)</f>
        <v>62372.535856032744</v>
      </c>
      <c r="BE205" s="20"/>
      <c r="BF205" s="20"/>
      <c r="BG205" s="20"/>
      <c r="BH205" s="20"/>
      <c r="BI205" s="20">
        <f>SUM(BE6:BI202)</f>
        <v>30698.177696329356</v>
      </c>
      <c r="BJ205" s="20"/>
      <c r="BK205" s="20"/>
      <c r="BL205" s="20"/>
      <c r="BM205" s="20"/>
      <c r="BN205" s="20">
        <f>SUM(BJ6:BN202)</f>
        <v>90029.965147007257</v>
      </c>
      <c r="BO205" s="20"/>
      <c r="BP205" s="20"/>
      <c r="BQ205" s="20"/>
      <c r="BR205" s="20"/>
      <c r="BS205" s="20">
        <f>SUM(BO6:BS202)</f>
        <v>130130.85331321051</v>
      </c>
      <c r="BT205" s="20"/>
      <c r="BU205" s="20"/>
      <c r="BV205" s="20"/>
      <c r="BW205" s="20"/>
      <c r="BX205" s="20">
        <f>SUM(BT6:BX202)</f>
        <v>147973.69418825477</v>
      </c>
      <c r="BY205" s="20"/>
      <c r="BZ205" s="20"/>
      <c r="CA205" s="20"/>
      <c r="CB205" s="20"/>
      <c r="CC205" s="20">
        <f>SUM(BY6:CC202)</f>
        <v>343302.54096269497</v>
      </c>
      <c r="CD205" s="20"/>
      <c r="CE205" s="20"/>
      <c r="CF205" s="20"/>
      <c r="CG205" s="20"/>
      <c r="CH205" s="20">
        <f>SUM(CD6:CH202)</f>
        <v>101697.72051925768</v>
      </c>
      <c r="CI205" s="20"/>
      <c r="CJ205" s="20"/>
      <c r="CK205" s="20"/>
      <c r="CL205" s="20"/>
      <c r="CM205" s="20">
        <f>SUM(CI6:CM202)</f>
        <v>216589.90573417631</v>
      </c>
      <c r="CN205" s="20"/>
      <c r="CO205" s="20"/>
      <c r="CP205" s="20"/>
      <c r="CQ205" s="20"/>
      <c r="CR205" s="20"/>
      <c r="CS205" s="20"/>
      <c r="CT205" s="20"/>
      <c r="CU205" s="20"/>
      <c r="CV205" s="20"/>
      <c r="CW205" s="29"/>
      <c r="CX205" s="20">
        <f>SUM(CN6:CX202)</f>
        <v>227508.03524298393</v>
      </c>
    </row>
    <row r="207" spans="3:104">
      <c r="CV207" s="23"/>
      <c r="CW207" s="23"/>
      <c r="CX207" s="23"/>
    </row>
    <row r="208" spans="3:104">
      <c r="J208" s="23"/>
      <c r="K208" s="23"/>
      <c r="CW208" s="23"/>
      <c r="CX208" s="23">
        <f>SUM(R203:CX205)</f>
        <v>3323705.5798190436</v>
      </c>
    </row>
    <row r="210" spans="7:102">
      <c r="M210" s="54"/>
      <c r="N210" s="77"/>
    </row>
    <row r="211" spans="7:102">
      <c r="G211" s="54"/>
      <c r="H211" s="54"/>
      <c r="I211" s="54"/>
      <c r="J211" s="54"/>
      <c r="L211" s="13"/>
    </row>
    <row r="212" spans="7:102">
      <c r="L212" s="77"/>
    </row>
    <row r="213" spans="7:102">
      <c r="K213" s="23"/>
    </row>
    <row r="216" spans="7:102">
      <c r="CW216" s="23"/>
      <c r="CX216" s="23"/>
    </row>
  </sheetData>
  <autoFilter ref="C5:CZ202" xr:uid="{E4BF5A8C-FF2D-4944-AD66-B7EB69D82ED7}"/>
  <mergeCells count="5">
    <mergeCell ref="G144:G149"/>
    <mergeCell ref="H144:H149"/>
    <mergeCell ref="G169:G170"/>
    <mergeCell ref="J144:J149"/>
    <mergeCell ref="K144:K149"/>
  </mergeCells>
  <phoneticPr fontId="4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CAFEF-127C-4522-B460-A97418AAA3D8}">
  <sheetPr>
    <pageSetUpPr fitToPage="1"/>
  </sheetPr>
  <dimension ref="B1:M28"/>
  <sheetViews>
    <sheetView view="pageBreakPreview" topLeftCell="A10" zoomScale="85" zoomScaleNormal="100" zoomScaleSheetLayoutView="85" workbookViewId="0">
      <selection activeCell="M15" sqref="M15:M20"/>
    </sheetView>
  </sheetViews>
  <sheetFormatPr defaultRowHeight="14.4"/>
  <cols>
    <col min="8" max="8" width="35.109375" customWidth="1"/>
    <col min="9" max="9" width="11.109375" customWidth="1"/>
    <col min="10" max="10" width="10.6640625" customWidth="1"/>
    <col min="11" max="11" width="7.88671875" customWidth="1"/>
    <col min="12" max="12" width="44.88671875" style="11" customWidth="1"/>
    <col min="13" max="13" width="10.44140625" bestFit="1" customWidth="1"/>
  </cols>
  <sheetData>
    <row r="1" spans="2:13">
      <c r="B1" s="81"/>
    </row>
    <row r="2" spans="2:13">
      <c r="B2" s="82" t="s">
        <v>551</v>
      </c>
    </row>
    <row r="4" spans="2:13">
      <c r="B4" t="s">
        <v>316</v>
      </c>
    </row>
    <row r="11" spans="2:13">
      <c r="D11" s="17" t="s">
        <v>342</v>
      </c>
      <c r="E11" s="18">
        <f>((((1+(M15+M16+M17))*(1+M18)*(1+M19))/(1-M20))-1)</f>
        <v>0.29152831976971805</v>
      </c>
    </row>
    <row r="14" spans="2:13">
      <c r="B14" t="s">
        <v>317</v>
      </c>
      <c r="I14" t="s">
        <v>332</v>
      </c>
      <c r="J14" t="s">
        <v>333</v>
      </c>
      <c r="K14" t="s">
        <v>334</v>
      </c>
      <c r="L14" s="11" t="s">
        <v>328</v>
      </c>
      <c r="M14" s="237" t="s">
        <v>615</v>
      </c>
    </row>
    <row r="15" spans="2:13" ht="28.8">
      <c r="C15" t="s">
        <v>318</v>
      </c>
      <c r="D15" t="s">
        <v>323</v>
      </c>
      <c r="I15" s="15">
        <v>0.03</v>
      </c>
      <c r="J15" s="15">
        <v>5.5E-2</v>
      </c>
      <c r="K15" s="157">
        <v>0.04</v>
      </c>
      <c r="L15" s="11" t="s">
        <v>331</v>
      </c>
      <c r="M15" s="236">
        <f>I15</f>
        <v>0.03</v>
      </c>
    </row>
    <row r="16" spans="2:13" ht="28.8">
      <c r="C16" t="s">
        <v>319</v>
      </c>
      <c r="D16" t="s">
        <v>324</v>
      </c>
      <c r="I16" s="16">
        <v>9.7000000000000003E-3</v>
      </c>
      <c r="J16" s="16">
        <v>1.2699999999999999E-2</v>
      </c>
      <c r="K16" s="158">
        <v>1.2699999999999999E-2</v>
      </c>
      <c r="L16" s="11" t="s">
        <v>331</v>
      </c>
      <c r="M16" s="236">
        <f t="shared" ref="M16:M17" si="0">I16</f>
        <v>9.7000000000000003E-3</v>
      </c>
    </row>
    <row r="17" spans="3:13" ht="28.8">
      <c r="C17" t="s">
        <v>329</v>
      </c>
      <c r="D17" t="s">
        <v>330</v>
      </c>
      <c r="I17" s="16">
        <v>8.0000000000000002E-3</v>
      </c>
      <c r="J17" s="16">
        <v>0.01</v>
      </c>
      <c r="K17" s="158">
        <v>8.0000000000000002E-3</v>
      </c>
      <c r="L17" s="11" t="s">
        <v>331</v>
      </c>
      <c r="M17" s="236">
        <f t="shared" si="0"/>
        <v>8.0000000000000002E-3</v>
      </c>
    </row>
    <row r="18" spans="3:13">
      <c r="C18" t="s">
        <v>320</v>
      </c>
      <c r="D18" t="s">
        <v>325</v>
      </c>
      <c r="I18" s="16"/>
      <c r="J18" s="16"/>
      <c r="K18" s="158">
        <v>8.5000000000000006E-3</v>
      </c>
      <c r="L18" s="11" t="s">
        <v>487</v>
      </c>
      <c r="M18" s="236">
        <f t="shared" ref="M18" si="1">K18</f>
        <v>8.5000000000000006E-3</v>
      </c>
    </row>
    <row r="19" spans="3:13" ht="28.8">
      <c r="C19" t="s">
        <v>321</v>
      </c>
      <c r="D19" t="s">
        <v>326</v>
      </c>
      <c r="I19" s="16">
        <v>6.1600000000000002E-2</v>
      </c>
      <c r="J19" s="16">
        <v>8.9599999999999999E-2</v>
      </c>
      <c r="K19" s="158">
        <v>7.3999999999999996E-2</v>
      </c>
      <c r="L19" s="11" t="s">
        <v>331</v>
      </c>
      <c r="M19" s="236">
        <f>I19</f>
        <v>6.1600000000000002E-2</v>
      </c>
    </row>
    <row r="20" spans="3:13" ht="28.8">
      <c r="C20" t="s">
        <v>322</v>
      </c>
      <c r="D20" t="s">
        <v>327</v>
      </c>
      <c r="I20" s="16"/>
      <c r="J20" s="16"/>
      <c r="K20" s="158">
        <f>K28</f>
        <v>0.13150000000000001</v>
      </c>
      <c r="L20" s="11" t="s">
        <v>335</v>
      </c>
      <c r="M20" s="236">
        <f>K20</f>
        <v>0.13150000000000001</v>
      </c>
    </row>
    <row r="21" spans="3:13">
      <c r="K21" s="158"/>
    </row>
    <row r="22" spans="3:13">
      <c r="K22" s="158"/>
    </row>
    <row r="23" spans="3:13">
      <c r="C23" t="s">
        <v>479</v>
      </c>
      <c r="K23" s="158"/>
    </row>
    <row r="24" spans="3:13" ht="76.5" customHeight="1">
      <c r="D24" s="80" t="s">
        <v>336</v>
      </c>
      <c r="E24" s="1"/>
      <c r="F24" s="1"/>
      <c r="G24" s="1"/>
      <c r="H24" s="1"/>
      <c r="I24" s="79">
        <v>0.02</v>
      </c>
      <c r="J24" s="79">
        <v>0.05</v>
      </c>
      <c r="K24" s="159">
        <v>0.05</v>
      </c>
      <c r="L24" s="78" t="s">
        <v>339</v>
      </c>
    </row>
    <row r="25" spans="3:13">
      <c r="D25" t="s">
        <v>338</v>
      </c>
      <c r="I25" s="117"/>
      <c r="J25" s="117"/>
      <c r="K25" s="159">
        <v>0.03</v>
      </c>
    </row>
    <row r="26" spans="3:13">
      <c r="D26" t="s">
        <v>340</v>
      </c>
      <c r="I26" s="79"/>
      <c r="J26" s="79"/>
      <c r="K26" s="159">
        <v>6.4999999999999997E-3</v>
      </c>
    </row>
    <row r="27" spans="3:13">
      <c r="D27" t="s">
        <v>337</v>
      </c>
      <c r="I27" s="79"/>
      <c r="J27" s="79"/>
      <c r="K27" s="159">
        <v>4.4999999999999998E-2</v>
      </c>
      <c r="L27" s="11" t="s">
        <v>476</v>
      </c>
    </row>
    <row r="28" spans="3:13">
      <c r="D28" t="s">
        <v>341</v>
      </c>
      <c r="I28" s="1"/>
      <c r="J28" s="1"/>
      <c r="K28" s="160">
        <f>SUM(K24:K27)</f>
        <v>0.13150000000000001</v>
      </c>
    </row>
  </sheetData>
  <pageMargins left="0.511811024" right="0.511811024" top="0.78740157499999996" bottom="0.78740157499999996" header="0.31496062000000002" footer="0.31496062000000002"/>
  <pageSetup paperSize="9" scale="7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304ED-9E3D-4A04-8867-2A335FD0F707}">
  <sheetPr>
    <pageSetUpPr fitToPage="1"/>
  </sheetPr>
  <dimension ref="B2:M24"/>
  <sheetViews>
    <sheetView view="pageBreakPreview" zoomScale="85" zoomScaleNormal="70" zoomScaleSheetLayoutView="85" workbookViewId="0">
      <selection activeCell="K20" sqref="K20"/>
    </sheetView>
  </sheetViews>
  <sheetFormatPr defaultRowHeight="14.4"/>
  <cols>
    <col min="8" max="8" width="35.109375" customWidth="1"/>
    <col min="9" max="10" width="15.44140625" bestFit="1" customWidth="1"/>
    <col min="11" max="11" width="16.33203125" bestFit="1" customWidth="1"/>
    <col min="12" max="12" width="29.5546875" style="11" customWidth="1"/>
    <col min="13" max="13" width="10.5546875" bestFit="1" customWidth="1"/>
  </cols>
  <sheetData>
    <row r="2" spans="2:13">
      <c r="B2" s="81" t="s">
        <v>552</v>
      </c>
    </row>
    <row r="4" spans="2:13">
      <c r="B4" t="s">
        <v>316</v>
      </c>
    </row>
    <row r="10" spans="2:13">
      <c r="D10" s="17" t="s">
        <v>342</v>
      </c>
      <c r="E10" s="18">
        <f>((((1+(M14+M15+M16))*(1+M17)*(1+M18))/(1-M19))-1)</f>
        <v>0.20656066535111606</v>
      </c>
    </row>
    <row r="11" spans="2:13">
      <c r="E11" s="16"/>
    </row>
    <row r="13" spans="2:13">
      <c r="B13" t="s">
        <v>317</v>
      </c>
      <c r="I13" t="s">
        <v>332</v>
      </c>
      <c r="J13" t="s">
        <v>333</v>
      </c>
      <c r="K13" t="s">
        <v>334</v>
      </c>
      <c r="L13" s="11" t="s">
        <v>328</v>
      </c>
      <c r="M13" s="237" t="s">
        <v>615</v>
      </c>
    </row>
    <row r="14" spans="2:13" ht="43.2">
      <c r="C14" t="s">
        <v>318</v>
      </c>
      <c r="D14" t="s">
        <v>323</v>
      </c>
      <c r="I14" s="15">
        <v>1.4999999999999999E-2</v>
      </c>
      <c r="J14" s="15">
        <v>4.4900000000000002E-2</v>
      </c>
      <c r="K14" s="159">
        <v>3.4500000000000003E-2</v>
      </c>
      <c r="L14" s="11" t="s">
        <v>331</v>
      </c>
      <c r="M14" s="236">
        <f>K14</f>
        <v>3.4500000000000003E-2</v>
      </c>
    </row>
    <row r="15" spans="2:13" ht="43.2">
      <c r="C15" t="s">
        <v>319</v>
      </c>
      <c r="D15" t="s">
        <v>324</v>
      </c>
      <c r="I15" s="16">
        <v>5.5999999999999999E-3</v>
      </c>
      <c r="J15" s="16">
        <v>8.8999999999999999E-3</v>
      </c>
      <c r="K15" s="160">
        <v>8.5000000000000006E-3</v>
      </c>
      <c r="L15" s="11" t="s">
        <v>331</v>
      </c>
      <c r="M15" s="236">
        <f t="shared" ref="M15:M19" si="0">K15</f>
        <v>8.5000000000000006E-3</v>
      </c>
    </row>
    <row r="16" spans="2:13" ht="43.2">
      <c r="C16" t="s">
        <v>329</v>
      </c>
      <c r="D16" t="s">
        <v>330</v>
      </c>
      <c r="I16" s="16">
        <v>3.0000000000000001E-3</v>
      </c>
      <c r="J16" s="16">
        <v>8.2000000000000007E-3</v>
      </c>
      <c r="K16" s="160">
        <v>4.7999999999999996E-3</v>
      </c>
      <c r="L16" s="11" t="s">
        <v>331</v>
      </c>
      <c r="M16" s="236">
        <f t="shared" si="0"/>
        <v>4.7999999999999996E-3</v>
      </c>
    </row>
    <row r="17" spans="3:13" ht="57.6">
      <c r="C17" t="s">
        <v>320</v>
      </c>
      <c r="D17" t="s">
        <v>325</v>
      </c>
      <c r="I17" s="16">
        <v>8.5000000000000006E-3</v>
      </c>
      <c r="J17" s="16">
        <v>1.11E-2</v>
      </c>
      <c r="K17" s="160">
        <v>6.2500000000000003E-3</v>
      </c>
      <c r="L17" s="11" t="s">
        <v>478</v>
      </c>
      <c r="M17" s="236">
        <f t="shared" si="0"/>
        <v>6.2500000000000003E-3</v>
      </c>
    </row>
    <row r="18" spans="3:13" ht="43.2">
      <c r="C18" t="s">
        <v>321</v>
      </c>
      <c r="D18" t="s">
        <v>326</v>
      </c>
      <c r="I18" s="16">
        <v>3.5000000000000003E-2</v>
      </c>
      <c r="J18" s="16">
        <v>6.2199999999999998E-2</v>
      </c>
      <c r="K18" s="160">
        <v>5.11E-2</v>
      </c>
      <c r="L18" s="11" t="s">
        <v>331</v>
      </c>
      <c r="M18" s="236">
        <f t="shared" si="0"/>
        <v>5.11E-2</v>
      </c>
    </row>
    <row r="19" spans="3:13" ht="43.2">
      <c r="C19" t="s">
        <v>322</v>
      </c>
      <c r="D19" t="s">
        <v>621</v>
      </c>
      <c r="I19" s="16"/>
      <c r="J19" s="16"/>
      <c r="K19" s="160">
        <f>3.65%+4.5%</f>
        <v>8.1499999999999989E-2</v>
      </c>
      <c r="L19" s="11" t="s">
        <v>335</v>
      </c>
      <c r="M19" s="236">
        <f t="shared" si="0"/>
        <v>8.1499999999999989E-2</v>
      </c>
    </row>
    <row r="23" spans="3:13" ht="15.6">
      <c r="I23" s="14"/>
      <c r="J23" s="14"/>
      <c r="K23" s="14"/>
      <c r="L23" s="78"/>
    </row>
    <row r="24" spans="3:13" ht="15.6">
      <c r="I24" s="14"/>
      <c r="J24" s="14"/>
      <c r="K24" s="14"/>
      <c r="L24" s="78"/>
    </row>
  </sheetData>
  <pageMargins left="0.511811024" right="0.511811024" top="0.78740157499999996" bottom="0.78740157499999996" header="0.31496062000000002" footer="0.31496062000000002"/>
  <pageSetup paperSize="9" scale="7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CCC50-C27F-4C05-86AB-5387BA93BDD0}">
  <sheetPr>
    <pageSetUpPr fitToPage="1"/>
  </sheetPr>
  <dimension ref="B1:W29"/>
  <sheetViews>
    <sheetView view="pageBreakPreview" zoomScale="80" zoomScaleNormal="85" zoomScaleSheetLayoutView="80" workbookViewId="0">
      <selection activeCell="Q31" sqref="Q30:Q31"/>
    </sheetView>
  </sheetViews>
  <sheetFormatPr defaultRowHeight="14.4"/>
  <cols>
    <col min="1" max="1" width="4" customWidth="1"/>
    <col min="2" max="2" width="22.109375" style="11" customWidth="1"/>
    <col min="3" max="3" width="17.33203125" customWidth="1"/>
    <col min="4" max="4" width="15.88671875" customWidth="1"/>
    <col min="5" max="5" width="15.33203125" customWidth="1"/>
    <col min="6" max="6" width="15" customWidth="1"/>
    <col min="7" max="7" width="15.44140625" customWidth="1"/>
    <col min="8" max="8" width="20.6640625" customWidth="1"/>
    <col min="9" max="9" width="17.88671875" customWidth="1"/>
    <col min="10" max="10" width="15.6640625" customWidth="1"/>
    <col min="11" max="16" width="13.6640625" customWidth="1"/>
    <col min="17" max="17" width="15.33203125" customWidth="1"/>
    <col min="18" max="18" width="17.109375" customWidth="1"/>
    <col min="19" max="19" width="13.6640625" customWidth="1"/>
    <col min="20" max="20" width="21.6640625" customWidth="1"/>
  </cols>
  <sheetData>
    <row r="1" spans="2:23" ht="15" thickBot="1"/>
    <row r="2" spans="2:23" ht="27" customHeight="1" thickBot="1">
      <c r="B2" s="710" t="s">
        <v>594</v>
      </c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  <c r="P2" s="711"/>
      <c r="Q2" s="711"/>
      <c r="R2" s="711"/>
      <c r="S2" s="711"/>
      <c r="T2" s="712"/>
    </row>
    <row r="3" spans="2:23" ht="17.399999999999999">
      <c r="B3" s="50" t="s">
        <v>474</v>
      </c>
      <c r="C3" s="51"/>
      <c r="D3" s="40"/>
      <c r="E3" s="40"/>
      <c r="F3" s="40"/>
      <c r="G3" s="40"/>
      <c r="H3" s="93"/>
      <c r="I3" s="93"/>
      <c r="J3" s="99"/>
      <c r="K3" s="37" t="s">
        <v>468</v>
      </c>
      <c r="L3" s="42" t="s">
        <v>466</v>
      </c>
      <c r="M3" s="40"/>
      <c r="N3" s="40"/>
      <c r="O3" s="40"/>
      <c r="P3" s="40"/>
      <c r="Q3" s="93"/>
      <c r="R3" s="93"/>
      <c r="S3" s="40"/>
      <c r="T3" s="41"/>
      <c r="U3" s="34"/>
      <c r="V3" s="34"/>
      <c r="W3" s="34"/>
    </row>
    <row r="4" spans="2:23" ht="17.399999999999999">
      <c r="B4" s="100" t="s">
        <v>477</v>
      </c>
      <c r="C4" s="98"/>
      <c r="D4" s="2"/>
      <c r="E4" s="46"/>
      <c r="F4" s="46"/>
      <c r="G4" s="46"/>
      <c r="J4" s="101"/>
      <c r="K4" s="43" t="s">
        <v>471</v>
      </c>
      <c r="L4" s="44"/>
      <c r="M4" s="44"/>
      <c r="N4" s="44"/>
      <c r="O4" s="44"/>
      <c r="P4" s="44"/>
      <c r="Q4" s="107"/>
      <c r="R4" s="107"/>
      <c r="S4" s="44"/>
      <c r="T4" s="47"/>
      <c r="U4" s="34"/>
      <c r="V4" s="34"/>
      <c r="W4" s="34"/>
    </row>
    <row r="5" spans="2:23" ht="17.399999999999999">
      <c r="B5" s="678" t="s">
        <v>472</v>
      </c>
      <c r="C5" s="679"/>
      <c r="D5" s="2"/>
      <c r="E5" s="46"/>
      <c r="F5" s="46"/>
      <c r="G5" s="46"/>
      <c r="J5" s="101"/>
      <c r="K5" s="49" t="s">
        <v>470</v>
      </c>
      <c r="L5" s="2"/>
      <c r="M5" s="46"/>
      <c r="N5" s="46"/>
      <c r="O5" s="46"/>
      <c r="P5" s="46"/>
      <c r="Q5" s="44"/>
      <c r="R5" s="44"/>
      <c r="S5" s="46"/>
      <c r="T5" s="48"/>
      <c r="U5" s="34"/>
      <c r="V5" s="34"/>
      <c r="W5" s="34"/>
    </row>
    <row r="6" spans="2:23" ht="18" thickBot="1">
      <c r="B6" s="104" t="s">
        <v>475</v>
      </c>
      <c r="C6" s="105"/>
      <c r="D6" s="102"/>
      <c r="E6" s="102"/>
      <c r="F6" s="102"/>
      <c r="G6" s="102"/>
      <c r="H6" s="96"/>
      <c r="I6" s="96"/>
      <c r="J6" s="103"/>
      <c r="K6" s="106"/>
      <c r="L6" s="97"/>
      <c r="M6" s="94"/>
      <c r="N6" s="94"/>
      <c r="O6" s="94"/>
      <c r="P6" s="94"/>
      <c r="Q6" s="96"/>
      <c r="R6" s="96"/>
      <c r="S6" s="94"/>
      <c r="T6" s="95"/>
      <c r="U6" s="34"/>
      <c r="V6" s="34"/>
      <c r="W6" s="34"/>
    </row>
    <row r="7" spans="2:23">
      <c r="B7" s="109" t="s">
        <v>595</v>
      </c>
      <c r="C7" s="234" t="s">
        <v>596</v>
      </c>
      <c r="D7" s="234" t="s">
        <v>597</v>
      </c>
      <c r="E7" s="234" t="s">
        <v>598</v>
      </c>
      <c r="F7" s="234" t="s">
        <v>599</v>
      </c>
      <c r="G7" s="234" t="s">
        <v>600</v>
      </c>
      <c r="H7" s="234" t="s">
        <v>601</v>
      </c>
      <c r="I7" s="234" t="s">
        <v>602</v>
      </c>
      <c r="J7" s="234" t="s">
        <v>603</v>
      </c>
      <c r="K7" s="234" t="s">
        <v>604</v>
      </c>
      <c r="L7" s="234" t="s">
        <v>605</v>
      </c>
      <c r="M7" s="234" t="s">
        <v>606</v>
      </c>
      <c r="N7" s="234" t="s">
        <v>607</v>
      </c>
      <c r="O7" s="234" t="s">
        <v>608</v>
      </c>
      <c r="P7" s="234" t="s">
        <v>609</v>
      </c>
      <c r="Q7" s="234" t="s">
        <v>610</v>
      </c>
      <c r="R7" s="234" t="s">
        <v>611</v>
      </c>
      <c r="S7" s="234" t="s">
        <v>612</v>
      </c>
      <c r="T7" s="110" t="s">
        <v>427</v>
      </c>
    </row>
    <row r="8" spans="2:23" ht="28.8">
      <c r="B8" s="109" t="s">
        <v>613</v>
      </c>
      <c r="C8" s="235">
        <v>5</v>
      </c>
      <c r="D8" s="235">
        <v>10</v>
      </c>
      <c r="E8" s="235">
        <v>15</v>
      </c>
      <c r="F8" s="235">
        <v>20</v>
      </c>
      <c r="G8" s="235">
        <v>25</v>
      </c>
      <c r="H8" s="235">
        <v>30</v>
      </c>
      <c r="I8" s="235">
        <v>35</v>
      </c>
      <c r="J8" s="235">
        <v>40</v>
      </c>
      <c r="K8" s="235">
        <v>45</v>
      </c>
      <c r="L8" s="235">
        <v>50</v>
      </c>
      <c r="M8" s="235">
        <v>55</v>
      </c>
      <c r="N8" s="235">
        <v>60</v>
      </c>
      <c r="O8" s="235">
        <v>65</v>
      </c>
      <c r="P8" s="235">
        <v>70</v>
      </c>
      <c r="Q8" s="235">
        <v>75</v>
      </c>
      <c r="R8" s="235">
        <v>85</v>
      </c>
      <c r="S8" s="235">
        <v>86</v>
      </c>
      <c r="T8" s="110" t="s">
        <v>427</v>
      </c>
    </row>
    <row r="9" spans="2:23">
      <c r="B9" s="111" t="s">
        <v>417</v>
      </c>
      <c r="C9" s="83">
        <f>SUM(CRONOGRAMA!Q6:U6)</f>
        <v>24307.854506385862</v>
      </c>
      <c r="D9" s="84">
        <f>SUM(CRONOGRAMA!V6:Z6)</f>
        <v>0</v>
      </c>
      <c r="E9" s="85">
        <f>SUM(CRONOGRAMA!AA6:AE6)</f>
        <v>0</v>
      </c>
      <c r="F9" s="84">
        <f>SUM(CRONOGRAMA!AF6:AJ6)</f>
        <v>0</v>
      </c>
      <c r="G9" s="84">
        <f>SUM(CRONOGRAMA!AK6:AO6)</f>
        <v>0</v>
      </c>
      <c r="H9" s="84">
        <f>SUM(CRONOGRAMA!AP6:AT6)</f>
        <v>0</v>
      </c>
      <c r="I9" s="84">
        <f>SUM(CRONOGRAMA!AU6:AY6)</f>
        <v>0</v>
      </c>
      <c r="J9" s="84">
        <f>SUM(CRONOGRAMA!AZ6:BD6)</f>
        <v>0</v>
      </c>
      <c r="K9" s="84">
        <f>SUM(CRONOGRAMA!BE6:BI6)</f>
        <v>0</v>
      </c>
      <c r="L9" s="84">
        <f>SUM(CRONOGRAMA!BJ6:BN6)</f>
        <v>0</v>
      </c>
      <c r="M9" s="84">
        <f>SUM(CRONOGRAMA!BO6:BS6)</f>
        <v>0</v>
      </c>
      <c r="N9" s="84">
        <f>SUM(CRONOGRAMA!BT6:BX6)</f>
        <v>0</v>
      </c>
      <c r="O9" s="84">
        <f>SUM(CRONOGRAMA!BY6:CC6)</f>
        <v>0</v>
      </c>
      <c r="P9" s="84">
        <f>SUM(CRONOGRAMA!CD6:CH6)</f>
        <v>0</v>
      </c>
      <c r="Q9" s="84">
        <f>SUM(CRONOGRAMA!CI6:CM6)</f>
        <v>0</v>
      </c>
      <c r="R9" s="84">
        <f>SUM(CRONOGRAMA!CN6:CW6)</f>
        <v>0</v>
      </c>
      <c r="S9" s="84">
        <f>SUM(CRONOGRAMA!CO6:CX6)</f>
        <v>0</v>
      </c>
      <c r="T9" s="112">
        <f t="shared" ref="T9:T22" si="0">SUM(C9:S9)</f>
        <v>24307.854506385862</v>
      </c>
    </row>
    <row r="10" spans="2:23" ht="28.8">
      <c r="B10" s="111" t="s">
        <v>418</v>
      </c>
      <c r="C10" s="84">
        <f>SUM(CRONOGRAMA!Q7:U16)</f>
        <v>0</v>
      </c>
      <c r="D10" s="83">
        <f>SUM(CRONOGRAMA!V7:Z16)</f>
        <v>21074.886065147599</v>
      </c>
      <c r="E10" s="83">
        <f>SUM(CRONOGRAMA!AA7:AE16)</f>
        <v>286341.80710421677</v>
      </c>
      <c r="F10" s="84">
        <f>SUM(CRONOGRAMA!AF7:AJ16)</f>
        <v>0</v>
      </c>
      <c r="G10" s="84">
        <f>SUM(CRONOGRAMA!AK7:AO16)</f>
        <v>0</v>
      </c>
      <c r="H10" s="84">
        <f>SUM(CRONOGRAMA!AP7:AT16)</f>
        <v>0</v>
      </c>
      <c r="I10" s="84">
        <f>SUM(CRONOGRAMA!AU7:AY16)</f>
        <v>0</v>
      </c>
      <c r="J10" s="84">
        <f>SUM(CRONOGRAMA!AZ7:BD16)</f>
        <v>0</v>
      </c>
      <c r="K10" s="84">
        <f>SUM(CRONOGRAMA!BE7:BI16)</f>
        <v>0</v>
      </c>
      <c r="L10" s="84">
        <f>SUM(CRONOGRAMA!BJ7:BN16)</f>
        <v>0</v>
      </c>
      <c r="M10" s="84">
        <f>SUM(CRONOGRAMA!BO7:BS16)</f>
        <v>0</v>
      </c>
      <c r="N10" s="84">
        <f>SUM(CRONOGRAMA!BT7:BX16)</f>
        <v>0</v>
      </c>
      <c r="O10" s="84">
        <f>SUM(CRONOGRAMA!BY7:CC16)</f>
        <v>0</v>
      </c>
      <c r="P10" s="84">
        <f>SUM(CRONOGRAMA!CD7:CH16)</f>
        <v>0</v>
      </c>
      <c r="Q10" s="84">
        <f>SUM(CRONOGRAMA!CI7:CM16)</f>
        <v>0</v>
      </c>
      <c r="R10" s="84">
        <f>SUM(CRONOGRAMA!CN7:CW16)</f>
        <v>0</v>
      </c>
      <c r="S10" s="84">
        <f>SUM(CRONOGRAMA!CO7:CX16)</f>
        <v>0</v>
      </c>
      <c r="T10" s="112">
        <f t="shared" si="0"/>
        <v>307416.69316936436</v>
      </c>
    </row>
    <row r="11" spans="2:23" ht="28.8">
      <c r="B11" s="111" t="s">
        <v>419</v>
      </c>
      <c r="C11" s="152">
        <f>SUM(CRONOGRAMA!Q17:U132)</f>
        <v>0</v>
      </c>
      <c r="D11" s="83">
        <f>SUM(CRONOGRAMA!U17:Z132)</f>
        <v>172831.92903280398</v>
      </c>
      <c r="E11" s="83">
        <f>SUM(CRONOGRAMA!AA17:AE132)</f>
        <v>273201.64066442061</v>
      </c>
      <c r="F11" s="83">
        <f>SUM(CRONOGRAMA!AF7:AJ132)</f>
        <v>110157.31148867228</v>
      </c>
      <c r="G11" s="83">
        <f>SUM(CRONOGRAMA!AK17:AO132)</f>
        <v>180997.79613184655</v>
      </c>
      <c r="H11" s="83">
        <f>SUM(CRONOGRAMA!AP17:AT132)</f>
        <v>167447.75678879142</v>
      </c>
      <c r="I11" s="83">
        <f>SUM(CRONOGRAMA!AU17:AY132)</f>
        <v>177044.44479032233</v>
      </c>
      <c r="J11" s="83">
        <f>SUM(CRONOGRAMA!AZ17:BD132)</f>
        <v>50585.14433999046</v>
      </c>
      <c r="K11" s="83">
        <f>SUM(CRONOGRAMA!BE17:BI132)</f>
        <v>18910.786180287072</v>
      </c>
      <c r="L11" s="83">
        <f>SUM(CRONOGRAMA!BJ17:BN132)</f>
        <v>78242.573630964966</v>
      </c>
      <c r="M11" s="83">
        <f>SUM(CRONOGRAMA!BO17:BS132)</f>
        <v>118343.46179716822</v>
      </c>
      <c r="N11" s="83">
        <f>SUM(CRONOGRAMA!BT17:BX132)</f>
        <v>136186.30267221248</v>
      </c>
      <c r="O11" s="83">
        <f>SUM(CRONOGRAMA!BY17:CC132)</f>
        <v>331515.14944665268</v>
      </c>
      <c r="P11" s="83">
        <f>SUM(CRONOGRAMA!CD17:CH132)</f>
        <v>89910.329003215389</v>
      </c>
      <c r="Q11" s="83">
        <f>SUM(CRONOGRAMA!CI17:CM132)</f>
        <v>204802.51421813402</v>
      </c>
      <c r="R11" s="83">
        <f>SUM(CRONOGRAMA!CN17:CW132)</f>
        <v>186360.79538381172</v>
      </c>
      <c r="S11" s="84">
        <f>SUM(CRONOGRAMA!CO172:CX178)</f>
        <v>0</v>
      </c>
      <c r="T11" s="112">
        <f t="shared" si="0"/>
        <v>2296537.9355692947</v>
      </c>
    </row>
    <row r="12" spans="2:23" ht="57.6">
      <c r="B12" s="111" t="s">
        <v>426</v>
      </c>
      <c r="C12" s="152">
        <f>SUM(CRONOGRAMA!Q133:U133)</f>
        <v>0</v>
      </c>
      <c r="D12" s="84">
        <f>SUM(CRONOGRAMA!U133:Z135)</f>
        <v>0</v>
      </c>
      <c r="E12" s="83">
        <f>SUM(CRONOGRAMA!AA133:AE135)</f>
        <v>0</v>
      </c>
      <c r="F12" s="83">
        <f>SUM(CRONOGRAMA!AF133:AJ135)</f>
        <v>16195.765129912264</v>
      </c>
      <c r="G12" s="84">
        <f>SUM(CRONOGRAMA!AK133:AO133)</f>
        <v>0</v>
      </c>
      <c r="H12" s="84">
        <f>SUM(CRONOGRAMA!AP133:AT133)</f>
        <v>0</v>
      </c>
      <c r="I12" s="84">
        <f>SUM(CRONOGRAMA!AU133:AY133)</f>
        <v>0</v>
      </c>
      <c r="J12" s="84">
        <f>SUM(CRONOGRAMA!AZ133:BD133)</f>
        <v>0</v>
      </c>
      <c r="K12" s="84">
        <f>SUM(CRONOGRAMA!BE133:BI133)</f>
        <v>0</v>
      </c>
      <c r="L12" s="84">
        <f>SUM(CRONOGRAMA!BJ133:BN133)</f>
        <v>0</v>
      </c>
      <c r="M12" s="84">
        <f>SUM(CRONOGRAMA!BO133:BS133)</f>
        <v>0</v>
      </c>
      <c r="N12" s="84">
        <f>SUM(CRONOGRAMA!BT133:BX133)</f>
        <v>0</v>
      </c>
      <c r="O12" s="84">
        <f>SUM(CRONOGRAMA!BY133:CC133)</f>
        <v>0</v>
      </c>
      <c r="P12" s="84">
        <f>SUM(CRONOGRAMA!CD133:CH133)</f>
        <v>0</v>
      </c>
      <c r="Q12" s="84">
        <f>SUM(CRONOGRAMA!CI133:CM133)</f>
        <v>0</v>
      </c>
      <c r="R12" s="84">
        <f>SUM(CRONOGRAMA!CN133:CW133)</f>
        <v>0</v>
      </c>
      <c r="S12" s="84">
        <f>SUM(CRONOGRAMA!CO133:CX133)</f>
        <v>0</v>
      </c>
      <c r="T12" s="112">
        <f t="shared" si="0"/>
        <v>16195.765129912264</v>
      </c>
    </row>
    <row r="13" spans="2:23">
      <c r="B13" s="111" t="s">
        <v>420</v>
      </c>
      <c r="C13" s="152">
        <f>SUM(CRONOGRAMA!Q136:U142)</f>
        <v>0</v>
      </c>
      <c r="D13" s="84">
        <f>SUM(CRONOGRAMA!U136:Z142)</f>
        <v>0</v>
      </c>
      <c r="E13" s="86">
        <f>SUM(CRONOGRAMA!AA136:AE142)</f>
        <v>0</v>
      </c>
      <c r="F13" s="83">
        <f>SUM(CRONOGRAMA!AF136:AJ142)</f>
        <v>101456.90451338678</v>
      </c>
      <c r="G13" s="84">
        <f>SUM(CRONOGRAMA!AK136:AO142)</f>
        <v>0</v>
      </c>
      <c r="H13" s="84">
        <f>SUM(CRONOGRAMA!AP136:AT142)</f>
        <v>0</v>
      </c>
      <c r="I13" s="84">
        <f>SUM(CRONOGRAMA!AU136:AY142)</f>
        <v>0</v>
      </c>
      <c r="J13" s="84">
        <f>SUM(CRONOGRAMA!AZ136:BD142)</f>
        <v>0</v>
      </c>
      <c r="K13" s="84">
        <f>SUM(CRONOGRAMA!BE136:BI142)</f>
        <v>0</v>
      </c>
      <c r="L13" s="84">
        <f>SUM(CRONOGRAMA!BJ136:BN142)</f>
        <v>0</v>
      </c>
      <c r="M13" s="84">
        <f>SUM(CRONOGRAMA!BO136:BS142)</f>
        <v>0</v>
      </c>
      <c r="N13" s="84">
        <f>SUM(CRONOGRAMA!BT136:BX142)</f>
        <v>0</v>
      </c>
      <c r="O13" s="84">
        <f>SUM(CRONOGRAMA!BY136:CC142)</f>
        <v>0</v>
      </c>
      <c r="P13" s="84">
        <f>SUM(CRONOGRAMA!CD136:CH142)</f>
        <v>0</v>
      </c>
      <c r="Q13" s="84">
        <f>SUM(CRONOGRAMA!CI136:CM142)</f>
        <v>0</v>
      </c>
      <c r="R13" s="84">
        <f>SUM(CRONOGRAMA!CN136:CW142)</f>
        <v>0</v>
      </c>
      <c r="S13" s="84">
        <f>SUM(CRONOGRAMA!CO136:CX142)</f>
        <v>0</v>
      </c>
      <c r="T13" s="112">
        <f t="shared" si="0"/>
        <v>101456.90451338678</v>
      </c>
    </row>
    <row r="14" spans="2:23" ht="28.8">
      <c r="B14" s="111" t="s">
        <v>421</v>
      </c>
      <c r="C14" s="152">
        <f>SUM(CRONOGRAMA!Q143:U168)</f>
        <v>0</v>
      </c>
      <c r="D14" s="84">
        <f>SUM(CRONOGRAMA!U143:Z168)</f>
        <v>0</v>
      </c>
      <c r="E14" s="86">
        <f>SUM(CRONOGRAMA!AA143:AE168)</f>
        <v>0</v>
      </c>
      <c r="F14" s="83">
        <f>SUM(CRONOGRAMA!AF143:AJ168)</f>
        <v>8178.3706098441808</v>
      </c>
      <c r="G14" s="83">
        <f>SUM(CRONOGRAMA!AK143:AO168)</f>
        <v>277126.5729397182</v>
      </c>
      <c r="H14" s="83">
        <f>SUM(CRONOGRAMA!AP143:AT168)</f>
        <v>1528.7281378887817</v>
      </c>
      <c r="I14" s="84">
        <f>SUM(CRONOGRAMA!AU143:AY168)</f>
        <v>0</v>
      </c>
      <c r="J14" s="84">
        <f>SUM(CRONOGRAMA!AZ143:BD168)</f>
        <v>0</v>
      </c>
      <c r="K14" s="84">
        <f>SUM(CRONOGRAMA!BE143:BI168)</f>
        <v>0</v>
      </c>
      <c r="L14" s="84">
        <f>SUM(CRONOGRAMA!BJ143:BN168)</f>
        <v>0</v>
      </c>
      <c r="M14" s="84">
        <f>SUM(CRONOGRAMA!BO143:BS168)</f>
        <v>0</v>
      </c>
      <c r="N14" s="84">
        <f>SUM(CRONOGRAMA!BT143:BX168)</f>
        <v>0</v>
      </c>
      <c r="O14" s="84">
        <f>SUM(CRONOGRAMA!BY143:CC168)</f>
        <v>0</v>
      </c>
      <c r="P14" s="84">
        <f>SUM(CRONOGRAMA!CD143:CH168)</f>
        <v>0</v>
      </c>
      <c r="Q14" s="84">
        <f>SUM(CRONOGRAMA!CI143:CM168)</f>
        <v>0</v>
      </c>
      <c r="R14" s="84">
        <f>SUM(CRONOGRAMA!CN143:CW168)</f>
        <v>0</v>
      </c>
      <c r="S14" s="84">
        <f>SUM(CRONOGRAMA!CO143:CX168)</f>
        <v>0</v>
      </c>
      <c r="T14" s="113">
        <f t="shared" si="0"/>
        <v>286833.67168745113</v>
      </c>
    </row>
    <row r="15" spans="2:23" ht="28.8">
      <c r="B15" s="111" t="s">
        <v>422</v>
      </c>
      <c r="C15" s="152">
        <f>SUM(CRONOGRAMA!Q169:U176)</f>
        <v>0</v>
      </c>
      <c r="D15" s="84">
        <f>SUM(CRONOGRAMA!U169:Z176)</f>
        <v>0</v>
      </c>
      <c r="E15" s="86">
        <f>SUM(CRONOGRAMA!AA169:AE176)</f>
        <v>0</v>
      </c>
      <c r="F15" s="84">
        <f>SUM(CRONOGRAMA!AF169:AJ176)</f>
        <v>0</v>
      </c>
      <c r="G15" s="84">
        <f>SUM(CRONOGRAMA!AK169:AO176)</f>
        <v>0</v>
      </c>
      <c r="H15" s="83">
        <f>SUM(CRONOGRAMA!AP169:AT176)</f>
        <v>56484.57777606629</v>
      </c>
      <c r="I15" s="84">
        <f>SUM(CRONOGRAMA!AU169:AY176)</f>
        <v>0</v>
      </c>
      <c r="J15" s="84">
        <f>SUM(CRONOGRAMA!AZ169:BD176)</f>
        <v>0</v>
      </c>
      <c r="K15" s="84">
        <f>SUM(CRONOGRAMA!BE169:BI176)</f>
        <v>0</v>
      </c>
      <c r="L15" s="84">
        <f>SUM(CRONOGRAMA!BJ169:BN176)</f>
        <v>0</v>
      </c>
      <c r="M15" s="84">
        <f>SUM(CRONOGRAMA!BO169:BS176)</f>
        <v>0</v>
      </c>
      <c r="N15" s="84">
        <f>SUM(CRONOGRAMA!BT169:BX176)</f>
        <v>0</v>
      </c>
      <c r="O15" s="84">
        <f>SUM(CRONOGRAMA!BY169:CC176)</f>
        <v>0</v>
      </c>
      <c r="P15" s="84">
        <f>SUM(CRONOGRAMA!CD169:CH176)</f>
        <v>0</v>
      </c>
      <c r="Q15" s="84">
        <f>SUM(CRONOGRAMA!CI169:CM176)</f>
        <v>0</v>
      </c>
      <c r="R15" s="84">
        <f>SUM(CRONOGRAMA!CN169:CW176)</f>
        <v>0</v>
      </c>
      <c r="S15" s="84">
        <f>SUM(CRONOGRAMA!CO169:CX176)</f>
        <v>0</v>
      </c>
      <c r="T15" s="112">
        <f t="shared" si="0"/>
        <v>56484.57777606629</v>
      </c>
    </row>
    <row r="16" spans="2:23" ht="28.8">
      <c r="B16" s="111" t="s">
        <v>423</v>
      </c>
      <c r="C16" s="152">
        <f>SUM(CRONOGRAMA!Q177:U183)</f>
        <v>0</v>
      </c>
      <c r="D16" s="84">
        <f>SUM(CRONOGRAMA!U177:Z183)</f>
        <v>0</v>
      </c>
      <c r="E16" s="86">
        <f>SUM(CRONOGRAMA!AA177:AE183)</f>
        <v>0</v>
      </c>
      <c r="F16" s="84">
        <f>SUM(CRONOGRAMA!AF177:AJ183)</f>
        <v>0</v>
      </c>
      <c r="G16" s="84">
        <f>SUM(CRONOGRAMA!AK177:AO183)</f>
        <v>0</v>
      </c>
      <c r="H16" s="83">
        <f>SUM(CRONOGRAMA!AP177:AT183)</f>
        <v>792.80724214728082</v>
      </c>
      <c r="I16" s="83">
        <f>SUM(CRONOGRAMA!AU177:AY183)</f>
        <v>7757.0094955193108</v>
      </c>
      <c r="J16" s="84">
        <f>SUM(CRONOGRAMA!AZ177:BD183)</f>
        <v>0</v>
      </c>
      <c r="K16" s="84">
        <f>SUM(CRONOGRAMA!BE177:BI183)</f>
        <v>0</v>
      </c>
      <c r="L16" s="84">
        <f>SUM(CRONOGRAMA!BJ177:BN183)</f>
        <v>0</v>
      </c>
      <c r="M16" s="84">
        <f>SUM(CRONOGRAMA!BO177:BS183)</f>
        <v>0</v>
      </c>
      <c r="N16" s="84">
        <f>SUM(CRONOGRAMA!BT177:BX183)</f>
        <v>0</v>
      </c>
      <c r="O16" s="84">
        <f>SUM(CRONOGRAMA!BY177:CC183)</f>
        <v>0</v>
      </c>
      <c r="P16" s="84">
        <f>SUM(CRONOGRAMA!CD177:CH183)</f>
        <v>0</v>
      </c>
      <c r="Q16" s="84">
        <f>SUM(CRONOGRAMA!CI177:CM183)</f>
        <v>0</v>
      </c>
      <c r="R16" s="84">
        <f>SUM(CRONOGRAMA!CN177:CW183)</f>
        <v>0</v>
      </c>
      <c r="S16" s="84">
        <f>SUM(CRONOGRAMA!CO177:CX183)</f>
        <v>0</v>
      </c>
      <c r="T16" s="112">
        <f t="shared" si="0"/>
        <v>8549.8167376665915</v>
      </c>
    </row>
    <row r="17" spans="2:20" ht="43.2">
      <c r="B17" s="111" t="s">
        <v>424</v>
      </c>
      <c r="C17" s="152">
        <f>SUM(CRONOGRAMA!Q184:U193)</f>
        <v>0</v>
      </c>
      <c r="D17" s="84">
        <f>SUM(CRONOGRAMA!U184:Z193)</f>
        <v>0</v>
      </c>
      <c r="E17" s="86">
        <f>SUM(CRONOGRAMA!AA184:AE193)</f>
        <v>0</v>
      </c>
      <c r="F17" s="84">
        <f>SUM(CRONOGRAMA!AF184:AJ193)</f>
        <v>0</v>
      </c>
      <c r="G17" s="84">
        <f>SUM(CRONOGRAMA!AK184:AO193)</f>
        <v>0</v>
      </c>
      <c r="H17" s="84">
        <f>SUM(CRONOGRAMA!AP184:AT193)</f>
        <v>0</v>
      </c>
      <c r="I17" s="83">
        <f>SUM(CRONOGRAMA!AU184:AY193)</f>
        <v>8157.1766301167609</v>
      </c>
      <c r="J17" s="84">
        <f>SUM(CRONOGRAMA!AZ184:BD193)</f>
        <v>0</v>
      </c>
      <c r="K17" s="84">
        <f>SUM(CRONOGRAMA!BE184:BI193)</f>
        <v>0</v>
      </c>
      <c r="L17" s="84">
        <f>SUM(CRONOGRAMA!BJ184:BN193)</f>
        <v>0</v>
      </c>
      <c r="M17" s="84">
        <f>SUM(CRONOGRAMA!BO184:BS193)</f>
        <v>0</v>
      </c>
      <c r="N17" s="84">
        <f>SUM(CRONOGRAMA!BT184:BX193)</f>
        <v>0</v>
      </c>
      <c r="O17" s="84">
        <f>SUM(CRONOGRAMA!BY184:CC193)</f>
        <v>0</v>
      </c>
      <c r="P17" s="84">
        <f>SUM(CRONOGRAMA!CD184:CH193)</f>
        <v>0</v>
      </c>
      <c r="Q17" s="84">
        <f>SUM(CRONOGRAMA!CI184:CM193)</f>
        <v>0</v>
      </c>
      <c r="R17" s="84">
        <f>SUM(CRONOGRAMA!CN184:CW193)</f>
        <v>0</v>
      </c>
      <c r="S17" s="84">
        <f>SUM(CRONOGRAMA!CO178:CX184)</f>
        <v>0</v>
      </c>
      <c r="T17" s="112">
        <f t="shared" si="0"/>
        <v>8157.1766301167609</v>
      </c>
    </row>
    <row r="18" spans="2:20">
      <c r="B18" s="111" t="s">
        <v>574</v>
      </c>
      <c r="C18" s="152">
        <f>SUM(CRONOGRAMA!Q193:U195)</f>
        <v>0</v>
      </c>
      <c r="D18" s="84">
        <f>SUM(CRONOGRAMA!U194:Z195)</f>
        <v>0</v>
      </c>
      <c r="E18" s="86">
        <f>SUM(CRONOGRAMA!AA194:AE195)</f>
        <v>0</v>
      </c>
      <c r="F18" s="84">
        <f>SUM(CRONOGRAMA!AF184:AJ195)</f>
        <v>0</v>
      </c>
      <c r="G18" s="84">
        <f>SUM(CRONOGRAMA!AK194:AO195)</f>
        <v>0</v>
      </c>
      <c r="H18" s="84">
        <f>SUM(CRONOGRAMA!AP194:AT195)</f>
        <v>0</v>
      </c>
      <c r="I18" s="83">
        <f>SUM(CRONOGRAMA!AU194:AY195)</f>
        <v>8239.9506801308016</v>
      </c>
      <c r="J18" s="84">
        <f>SUM(CRONOGRAMA!AZ194:BD195)</f>
        <v>0</v>
      </c>
      <c r="K18" s="84">
        <f>SUM(CRONOGRAMA!BE194:BI195)</f>
        <v>0</v>
      </c>
      <c r="L18" s="84">
        <f>SUM(CRONOGRAMA!BJ194:BN195)</f>
        <v>0</v>
      </c>
      <c r="M18" s="84">
        <f>SUM(CRONOGRAMA!BO194:BS195)</f>
        <v>0</v>
      </c>
      <c r="N18" s="84">
        <f>SUM(CRONOGRAMA!BT194:BX195)</f>
        <v>0</v>
      </c>
      <c r="O18" s="84">
        <f>SUM(CRONOGRAMA!BY194:CC195)</f>
        <v>0</v>
      </c>
      <c r="P18" s="84">
        <f>SUM(CRONOGRAMA!CD194:CH195)</f>
        <v>0</v>
      </c>
      <c r="Q18" s="84">
        <f>SUM(CRONOGRAMA!CI194:CM195)</f>
        <v>0</v>
      </c>
      <c r="R18" s="84">
        <f>SUM(CRONOGRAMA!CN194:CW195)</f>
        <v>0</v>
      </c>
      <c r="S18" s="84">
        <f>SUM(CRONOGRAMA!CO194:CX195)</f>
        <v>0</v>
      </c>
      <c r="T18" s="112">
        <f>SUM(C18:S18)</f>
        <v>8239.9506801308016</v>
      </c>
    </row>
    <row r="19" spans="2:20">
      <c r="B19" s="111" t="s">
        <v>548</v>
      </c>
      <c r="C19" s="152">
        <f>SUM(CRONOGRAMA!Q196:U201)</f>
        <v>0</v>
      </c>
      <c r="D19" s="84">
        <f>SUM(CRONOGRAMA!U196:Z198)</f>
        <v>0</v>
      </c>
      <c r="E19" s="86">
        <f>SUM(CRONOGRAMA!AA196:AE198)</f>
        <v>0</v>
      </c>
      <c r="F19" s="84">
        <f>SUM(CRONOGRAMA!AF196:AJ198)</f>
        <v>0</v>
      </c>
      <c r="G19" s="84">
        <f>SUM(CRONOGRAMA!AK196:AO198)</f>
        <v>0</v>
      </c>
      <c r="H19" s="84">
        <f>SUM(CRONOGRAMA!AP196:AT198)</f>
        <v>0</v>
      </c>
      <c r="I19" s="83">
        <f>SUM(CRONOGRAMA!AU196:AY198)</f>
        <v>3354.5123355042842</v>
      </c>
      <c r="J19" s="84">
        <f>SUM(CRONOGRAMA!AZ196:BD198)</f>
        <v>0</v>
      </c>
      <c r="K19" s="84">
        <f>SUM(CRONOGRAMA!BE196:BI198)</f>
        <v>0</v>
      </c>
      <c r="L19" s="84">
        <f>SUM(CRONOGRAMA!BJ196:BN198)</f>
        <v>0</v>
      </c>
      <c r="M19" s="84">
        <f>SUM(CRONOGRAMA!BO196:BS198)</f>
        <v>0</v>
      </c>
      <c r="N19" s="84">
        <f>SUM(CRONOGRAMA!BT196:BX198)</f>
        <v>0</v>
      </c>
      <c r="O19" s="84">
        <f>SUM(CRONOGRAMA!BY196:CC198)</f>
        <v>0</v>
      </c>
      <c r="P19" s="84">
        <f>SUM(CRONOGRAMA!CD196:CH198)</f>
        <v>0</v>
      </c>
      <c r="Q19" s="84">
        <f>SUM(CRONOGRAMA!CI196:CM198)</f>
        <v>0</v>
      </c>
      <c r="R19" s="83">
        <f>SUM(CRONOGRAMA!CN196:CW198)</f>
        <v>2223.391833049965</v>
      </c>
      <c r="S19" s="84">
        <f>SUM(CRONOGRAMA!CO179:CX185)</f>
        <v>0</v>
      </c>
      <c r="T19" s="113">
        <f t="shared" si="0"/>
        <v>5577.9041685542488</v>
      </c>
    </row>
    <row r="20" spans="2:20">
      <c r="B20" s="111" t="s">
        <v>549</v>
      </c>
      <c r="C20" s="152">
        <f>SUM(CRONOGRAMA!Q199:U199)</f>
        <v>0</v>
      </c>
      <c r="D20" s="83">
        <f>SUM(CRONOGRAMA!U199:Z199)</f>
        <v>11787.391516042284</v>
      </c>
      <c r="E20" s="153">
        <f>SUM(CRONOGRAMA!AA199:AE199)</f>
        <v>11787.391516042284</v>
      </c>
      <c r="F20" s="83">
        <f>SUM(CRONOGRAMA!AF199:AJ199)</f>
        <v>11787.391516042284</v>
      </c>
      <c r="G20" s="83">
        <f>SUM(CRONOGRAMA!AK199:AO199)</f>
        <v>11787.391516042284</v>
      </c>
      <c r="H20" s="83">
        <f>SUM(CRONOGRAMA!AP199:AT199)</f>
        <v>11787.391516042284</v>
      </c>
      <c r="I20" s="83">
        <f>SUM(CRONOGRAMA!AU199:AY199)</f>
        <v>11787.391516042284</v>
      </c>
      <c r="J20" s="83">
        <f>SUM(CRONOGRAMA!AZ199:BD199)</f>
        <v>11787.391516042284</v>
      </c>
      <c r="K20" s="83">
        <f>SUM(CRONOGRAMA!BE199:BI199)</f>
        <v>11787.391516042284</v>
      </c>
      <c r="L20" s="83">
        <f>SUM(CRONOGRAMA!BJ199:BN199)</f>
        <v>11787.391516042284</v>
      </c>
      <c r="M20" s="83">
        <f>SUM(CRONOGRAMA!BO199:BS199)</f>
        <v>11787.391516042284</v>
      </c>
      <c r="N20" s="83">
        <f>SUM(CRONOGRAMA!BT199:BX199)</f>
        <v>11787.391516042284</v>
      </c>
      <c r="O20" s="83">
        <f>SUM(CRONOGRAMA!BY199:CC199)</f>
        <v>11787.391516042284</v>
      </c>
      <c r="P20" s="83">
        <f>SUM(CRONOGRAMA!CD199:CH199)</f>
        <v>11787.391516042284</v>
      </c>
      <c r="Q20" s="83">
        <f>SUM(CRONOGRAMA!CI199:CM199)</f>
        <v>11787.391516042284</v>
      </c>
      <c r="R20" s="83">
        <f>SUM(CRONOGRAMA!CN199:CW199)</f>
        <v>23574.783032084568</v>
      </c>
      <c r="S20" s="84">
        <f>SUM(CRONOGRAMA!CO180:CX186)</f>
        <v>0</v>
      </c>
      <c r="T20" s="113">
        <f t="shared" si="0"/>
        <v>188598.2642566766</v>
      </c>
    </row>
    <row r="21" spans="2:20">
      <c r="B21" s="111" t="s">
        <v>550</v>
      </c>
      <c r="C21" s="152">
        <f>SUM(CRONOGRAMA!Q200:U200)</f>
        <v>0</v>
      </c>
      <c r="D21" s="84">
        <f>SUM(CRONOGRAMA!U200:Z200)</f>
        <v>0</v>
      </c>
      <c r="E21" s="86">
        <f>SUM(CRONOGRAMA!AA200:AE200)</f>
        <v>0</v>
      </c>
      <c r="F21" s="84">
        <f>SUM(CRONOGRAMA!AF200:AJ200)</f>
        <v>0</v>
      </c>
      <c r="G21" s="84">
        <f>SUM(CRONOGRAMA!AK200:AO200)</f>
        <v>0</v>
      </c>
      <c r="H21" s="84">
        <f>SUM(CRONOGRAMA!AP200:AT200)</f>
        <v>0</v>
      </c>
      <c r="I21" s="84">
        <f>SUM(CRONOGRAMA!AU200:AY200)</f>
        <v>0</v>
      </c>
      <c r="J21" s="84">
        <f>SUM(CRONOGRAMA!AZ200:BD200)</f>
        <v>0</v>
      </c>
      <c r="K21" s="84">
        <f>SUM(CRONOGRAMA!BE200:BI200)</f>
        <v>0</v>
      </c>
      <c r="L21" s="84">
        <f>SUM(CRONOGRAMA!BJ200:BN200)</f>
        <v>0</v>
      </c>
      <c r="M21" s="84">
        <f>SUM(CRONOGRAMA!BO200:BS200)</f>
        <v>0</v>
      </c>
      <c r="N21" s="84">
        <f>SUM(CRONOGRAMA!BT200:BX200)</f>
        <v>0</v>
      </c>
      <c r="O21" s="84">
        <f>SUM(CRONOGRAMA!BY200:CC200)</f>
        <v>0</v>
      </c>
      <c r="P21" s="84">
        <f>SUM(CRONOGRAMA!CD200:CH200)</f>
        <v>0</v>
      </c>
      <c r="Q21" s="84">
        <f>SUM(CRONOGRAMA!CI200:CM200)</f>
        <v>0</v>
      </c>
      <c r="R21" s="83">
        <f>SUM(CRONOGRAMA!CN200:CW200)</f>
        <v>3195.1377408447011</v>
      </c>
      <c r="S21" s="84">
        <f>SUM(CRONOGRAMA!CO181:CX187)</f>
        <v>0</v>
      </c>
      <c r="T21" s="113">
        <f t="shared" si="0"/>
        <v>3195.1377408447011</v>
      </c>
    </row>
    <row r="22" spans="2:20">
      <c r="B22" s="111" t="s">
        <v>425</v>
      </c>
      <c r="C22" s="152">
        <f>SUM(CRONOGRAMA!Q202:U202)</f>
        <v>0</v>
      </c>
      <c r="D22" s="84">
        <f>SUM(CRONOGRAMA!U202:Z202)</f>
        <v>0</v>
      </c>
      <c r="E22" s="86">
        <f>SUM(CRONOGRAMA!AA202:AE202)</f>
        <v>0</v>
      </c>
      <c r="F22" s="84">
        <f>SUM(CRONOGRAMA!AF202:AJ202)</f>
        <v>0</v>
      </c>
      <c r="G22" s="84">
        <f>SUM(CRONOGRAMA!AK202:AO202)</f>
        <v>0</v>
      </c>
      <c r="H22" s="84">
        <f>SUM(CRONOGRAMA!AP202:AT202)</f>
        <v>0</v>
      </c>
      <c r="I22" s="84">
        <f>SUM(CRONOGRAMA!AU202:AY202)</f>
        <v>0</v>
      </c>
      <c r="J22" s="84">
        <f>SUM(CRONOGRAMA!AZ202:BD202)</f>
        <v>0</v>
      </c>
      <c r="K22" s="84">
        <f>SUM(CRONOGRAMA!BE202:BI202)</f>
        <v>0</v>
      </c>
      <c r="L22" s="84">
        <f>SUM(CRONOGRAMA!BJ202:BN202)</f>
        <v>0</v>
      </c>
      <c r="M22" s="84">
        <f>SUM(CRONOGRAMA!BO202:BS202)</f>
        <v>0</v>
      </c>
      <c r="N22" s="84">
        <f>SUM(CRONOGRAMA!BT202:BX202)</f>
        <v>0</v>
      </c>
      <c r="O22" s="84">
        <f>SUM(CRONOGRAMA!BY202:CC202)</f>
        <v>0</v>
      </c>
      <c r="P22" s="84">
        <f>SUM(CRONOGRAMA!CD202:CH202)</f>
        <v>0</v>
      </c>
      <c r="Q22" s="84">
        <f>SUM(CRONOGRAMA!CI202:CM202)</f>
        <v>0</v>
      </c>
      <c r="R22" s="84">
        <f>SUM(CRONOGRAMA!CJ202:CN202)</f>
        <v>0</v>
      </c>
      <c r="S22" s="83">
        <f>SUM(CRONOGRAMA!CO202:CY202)</f>
        <v>12153.927253192931</v>
      </c>
      <c r="T22" s="112">
        <f t="shared" si="0"/>
        <v>12153.927253192931</v>
      </c>
    </row>
    <row r="23" spans="2:20" ht="15" thickBot="1">
      <c r="B23" s="114" t="s">
        <v>614</v>
      </c>
      <c r="C23" s="115">
        <f t="shared" ref="C23:S23" si="1">SUM(C9:C22)</f>
        <v>24307.854506385862</v>
      </c>
      <c r="D23" s="115">
        <f t="shared" si="1"/>
        <v>205694.20661399385</v>
      </c>
      <c r="E23" s="115">
        <f t="shared" si="1"/>
        <v>571330.83928467974</v>
      </c>
      <c r="F23" s="115">
        <f t="shared" si="1"/>
        <v>247775.7432578578</v>
      </c>
      <c r="G23" s="115">
        <f t="shared" si="1"/>
        <v>469911.76058760704</v>
      </c>
      <c r="H23" s="115">
        <f t="shared" si="1"/>
        <v>238041.26146093605</v>
      </c>
      <c r="I23" s="115">
        <f t="shared" si="1"/>
        <v>216340.48544763579</v>
      </c>
      <c r="J23" s="115">
        <f t="shared" si="1"/>
        <v>62372.535856032744</v>
      </c>
      <c r="K23" s="115">
        <f t="shared" si="1"/>
        <v>30698.177696329356</v>
      </c>
      <c r="L23" s="115">
        <f t="shared" si="1"/>
        <v>90029.965147007257</v>
      </c>
      <c r="M23" s="115">
        <f t="shared" si="1"/>
        <v>130130.85331321051</v>
      </c>
      <c r="N23" s="115">
        <f t="shared" si="1"/>
        <v>147973.69418825477</v>
      </c>
      <c r="O23" s="115">
        <f t="shared" si="1"/>
        <v>343302.54096269497</v>
      </c>
      <c r="P23" s="115">
        <f t="shared" si="1"/>
        <v>101697.72051925768</v>
      </c>
      <c r="Q23" s="115">
        <f t="shared" si="1"/>
        <v>216589.90573417631</v>
      </c>
      <c r="R23" s="115">
        <f t="shared" si="1"/>
        <v>215354.10798979099</v>
      </c>
      <c r="S23" s="115">
        <f t="shared" si="1"/>
        <v>12153.927253192931</v>
      </c>
      <c r="T23" s="116">
        <f>SUM(C23:S23)</f>
        <v>3323705.5798190432</v>
      </c>
    </row>
    <row r="29" spans="2:20">
      <c r="I29" s="25"/>
    </row>
  </sheetData>
  <mergeCells count="2">
    <mergeCell ref="B5:C5"/>
    <mergeCell ref="B2:T2"/>
  </mergeCells>
  <pageMargins left="0.511811024" right="0.511811024" top="0.78740157499999996" bottom="0.78740157499999996" header="0.31496062000000002" footer="0.31496062000000002"/>
  <pageSetup paperSize="9" scale="4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16931-AE00-4FDB-96F6-86F5CBA38B3D}">
  <dimension ref="C1:G40"/>
  <sheetViews>
    <sheetView view="pageBreakPreview" topLeftCell="A4" zoomScale="60" zoomScaleNormal="70" workbookViewId="0">
      <selection activeCell="G47" sqref="G47:G48"/>
    </sheetView>
  </sheetViews>
  <sheetFormatPr defaultRowHeight="14.4"/>
  <cols>
    <col min="4" max="4" width="25.6640625" customWidth="1"/>
    <col min="5" max="5" width="40" bestFit="1" customWidth="1"/>
    <col min="6" max="7" width="25.6640625" style="130" customWidth="1"/>
  </cols>
  <sheetData>
    <row r="1" spans="3:7">
      <c r="C1" s="225" t="s">
        <v>583</v>
      </c>
      <c r="F1"/>
      <c r="G1"/>
    </row>
    <row r="2" spans="3:7" ht="15" thickBot="1">
      <c r="F2"/>
      <c r="G2"/>
    </row>
    <row r="3" spans="3:7" ht="15" thickBot="1">
      <c r="D3" s="713" t="s">
        <v>488</v>
      </c>
      <c r="E3" s="714"/>
      <c r="F3" s="714"/>
      <c r="G3" s="715"/>
    </row>
    <row r="4" spans="3:7" ht="15" thickBot="1">
      <c r="D4" s="716" t="s">
        <v>507</v>
      </c>
      <c r="E4" s="717"/>
      <c r="F4" s="717"/>
      <c r="G4" s="718"/>
    </row>
    <row r="5" spans="3:7">
      <c r="D5" s="140" t="s">
        <v>489</v>
      </c>
      <c r="E5" s="133" t="s">
        <v>243</v>
      </c>
      <c r="F5" s="133" t="s">
        <v>490</v>
      </c>
      <c r="G5" s="141" t="s">
        <v>491</v>
      </c>
    </row>
    <row r="6" spans="3:7">
      <c r="D6" s="35" t="s">
        <v>483</v>
      </c>
      <c r="E6" s="131" t="s">
        <v>498</v>
      </c>
      <c r="F6" s="132">
        <v>0</v>
      </c>
      <c r="G6" s="142">
        <v>0</v>
      </c>
    </row>
    <row r="7" spans="3:7">
      <c r="D7" s="35" t="s">
        <v>484</v>
      </c>
      <c r="E7" s="131" t="s">
        <v>499</v>
      </c>
      <c r="F7" s="132">
        <v>1.4999999999999999E-2</v>
      </c>
      <c r="G7" s="142">
        <v>1.4999999999999999E-2</v>
      </c>
    </row>
    <row r="8" spans="3:7">
      <c r="D8" s="35" t="s">
        <v>485</v>
      </c>
      <c r="E8" s="131" t="s">
        <v>500</v>
      </c>
      <c r="F8" s="132">
        <v>0.01</v>
      </c>
      <c r="G8" s="142">
        <v>0.01</v>
      </c>
    </row>
    <row r="9" spans="3:7">
      <c r="D9" s="35" t="s">
        <v>492</v>
      </c>
      <c r="E9" s="131" t="s">
        <v>501</v>
      </c>
      <c r="F9" s="132">
        <v>2E-3</v>
      </c>
      <c r="G9" s="142">
        <v>2E-3</v>
      </c>
    </row>
    <row r="10" spans="3:7">
      <c r="D10" s="35" t="s">
        <v>493</v>
      </c>
      <c r="E10" s="131" t="s">
        <v>502</v>
      </c>
      <c r="F10" s="132">
        <v>6.0000000000000001E-3</v>
      </c>
      <c r="G10" s="142">
        <v>6.0000000000000001E-3</v>
      </c>
    </row>
    <row r="11" spans="3:7">
      <c r="D11" s="35" t="s">
        <v>494</v>
      </c>
      <c r="E11" s="131" t="s">
        <v>503</v>
      </c>
      <c r="F11" s="132">
        <v>2.5000000000000001E-2</v>
      </c>
      <c r="G11" s="142">
        <v>2.5000000000000001E-2</v>
      </c>
    </row>
    <row r="12" spans="3:7">
      <c r="D12" s="35" t="s">
        <v>495</v>
      </c>
      <c r="E12" s="131" t="s">
        <v>504</v>
      </c>
      <c r="F12" s="132">
        <v>0.03</v>
      </c>
      <c r="G12" s="142">
        <v>0.03</v>
      </c>
    </row>
    <row r="13" spans="3:7">
      <c r="D13" s="35" t="s">
        <v>496</v>
      </c>
      <c r="E13" s="131" t="s">
        <v>505</v>
      </c>
      <c r="F13" s="132">
        <v>0.08</v>
      </c>
      <c r="G13" s="142">
        <v>0.08</v>
      </c>
    </row>
    <row r="14" spans="3:7">
      <c r="D14" s="35" t="s">
        <v>497</v>
      </c>
      <c r="E14" s="131" t="s">
        <v>506</v>
      </c>
      <c r="F14" s="132">
        <v>0.01</v>
      </c>
      <c r="G14" s="142">
        <v>0.01</v>
      </c>
    </row>
    <row r="15" spans="3:7" ht="15" thickBot="1">
      <c r="D15" s="143" t="s">
        <v>482</v>
      </c>
      <c r="E15" s="144" t="s">
        <v>161</v>
      </c>
      <c r="F15" s="145">
        <f>SUM(F6:F14)</f>
        <v>0.17799999999999999</v>
      </c>
      <c r="G15" s="146">
        <f>SUM(G6:G14)</f>
        <v>0.17799999999999999</v>
      </c>
    </row>
    <row r="16" spans="3:7" ht="15" thickBot="1">
      <c r="D16" s="716" t="s">
        <v>508</v>
      </c>
      <c r="E16" s="717"/>
      <c r="F16" s="717"/>
      <c r="G16" s="718"/>
    </row>
    <row r="17" spans="4:7">
      <c r="D17" s="134" t="s">
        <v>509</v>
      </c>
      <c r="E17" t="s">
        <v>520</v>
      </c>
      <c r="F17" s="135">
        <v>0.1797</v>
      </c>
      <c r="G17" s="136" t="s">
        <v>530</v>
      </c>
    </row>
    <row r="18" spans="4:7">
      <c r="D18" s="134" t="s">
        <v>510</v>
      </c>
      <c r="E18" t="s">
        <v>521</v>
      </c>
      <c r="F18" s="135">
        <v>4.6899999999999997E-2</v>
      </c>
      <c r="G18" s="136" t="s">
        <v>530</v>
      </c>
    </row>
    <row r="19" spans="4:7">
      <c r="D19" s="134" t="s">
        <v>511</v>
      </c>
      <c r="E19" t="s">
        <v>522</v>
      </c>
      <c r="F19" s="135">
        <v>8.9999999999999993E-3</v>
      </c>
      <c r="G19" s="136">
        <v>6.8999999999999999E-3</v>
      </c>
    </row>
    <row r="20" spans="4:7">
      <c r="D20" s="134" t="s">
        <v>512</v>
      </c>
      <c r="E20" t="s">
        <v>523</v>
      </c>
      <c r="F20" s="135">
        <v>0.1082</v>
      </c>
      <c r="G20" s="136">
        <v>8.3299999999999999E-2</v>
      </c>
    </row>
    <row r="21" spans="4:7">
      <c r="D21" s="134" t="s">
        <v>513</v>
      </c>
      <c r="E21" t="s">
        <v>524</v>
      </c>
      <c r="F21" s="135">
        <v>6.9999999999999999E-4</v>
      </c>
      <c r="G21" s="136">
        <v>5.9999999999999995E-4</v>
      </c>
    </row>
    <row r="22" spans="4:7">
      <c r="D22" s="134" t="s">
        <v>514</v>
      </c>
      <c r="E22" t="s">
        <v>525</v>
      </c>
      <c r="F22" s="135">
        <v>7.1999999999999998E-3</v>
      </c>
      <c r="G22" s="136">
        <v>5.5999999999999999E-3</v>
      </c>
    </row>
    <row r="23" spans="4:7">
      <c r="D23" s="134" t="s">
        <v>515</v>
      </c>
      <c r="E23" t="s">
        <v>526</v>
      </c>
      <c r="F23" s="135">
        <v>1.3100000000000001E-2</v>
      </c>
      <c r="G23" s="136" t="s">
        <v>530</v>
      </c>
    </row>
    <row r="24" spans="4:7">
      <c r="D24" s="134" t="s">
        <v>516</v>
      </c>
      <c r="E24" t="s">
        <v>527</v>
      </c>
      <c r="F24" s="135">
        <v>1.1000000000000001E-3</v>
      </c>
      <c r="G24" s="136">
        <v>8.9999999999999998E-4</v>
      </c>
    </row>
    <row r="25" spans="4:7">
      <c r="D25" s="134" t="s">
        <v>517</v>
      </c>
      <c r="E25" t="s">
        <v>528</v>
      </c>
      <c r="F25" s="135">
        <v>7.9100000000000004E-2</v>
      </c>
      <c r="G25" s="136">
        <v>6.0900000000000003E-2</v>
      </c>
    </row>
    <row r="26" spans="4:7">
      <c r="D26" s="134" t="s">
        <v>518</v>
      </c>
      <c r="E26" t="s">
        <v>529</v>
      </c>
      <c r="F26" s="135">
        <v>2.9999999999999997E-4</v>
      </c>
      <c r="G26" s="136">
        <v>2.9999999999999997E-4</v>
      </c>
    </row>
    <row r="27" spans="4:7" ht="15" thickBot="1">
      <c r="D27" s="137" t="s">
        <v>519</v>
      </c>
      <c r="E27" s="96" t="s">
        <v>161</v>
      </c>
      <c r="F27" s="138">
        <f>SUM(F17:F26)</f>
        <v>0.44529999999999997</v>
      </c>
      <c r="G27" s="139">
        <f>SUM(G19:G22,G24:G26)</f>
        <v>0.1585</v>
      </c>
    </row>
    <row r="28" spans="4:7" ht="15" thickBot="1">
      <c r="D28" s="716" t="s">
        <v>531</v>
      </c>
      <c r="E28" s="717"/>
      <c r="F28" s="717"/>
      <c r="G28" s="718"/>
    </row>
    <row r="29" spans="4:7">
      <c r="D29" s="134" t="s">
        <v>354</v>
      </c>
      <c r="E29" t="s">
        <v>535</v>
      </c>
      <c r="F29" s="135">
        <v>4.7600000000000003E-2</v>
      </c>
      <c r="G29" s="136">
        <v>3.6700000000000003E-2</v>
      </c>
    </row>
    <row r="30" spans="4:7">
      <c r="D30" s="134" t="s">
        <v>361</v>
      </c>
      <c r="E30" t="s">
        <v>536</v>
      </c>
      <c r="F30" s="135">
        <v>1.1000000000000001E-3</v>
      </c>
      <c r="G30" s="136">
        <v>8.9999999999999998E-4</v>
      </c>
    </row>
    <row r="31" spans="4:7">
      <c r="D31" s="134" t="s">
        <v>365</v>
      </c>
      <c r="E31" t="s">
        <v>537</v>
      </c>
      <c r="F31" s="135">
        <v>5.3400000000000003E-2</v>
      </c>
      <c r="G31" s="136">
        <v>4.1099999999999998E-2</v>
      </c>
    </row>
    <row r="32" spans="4:7">
      <c r="D32" s="134" t="s">
        <v>532</v>
      </c>
      <c r="E32" t="s">
        <v>538</v>
      </c>
      <c r="F32" s="135">
        <v>3.7900000000000003E-2</v>
      </c>
      <c r="G32" s="136">
        <v>2.92E-2</v>
      </c>
    </row>
    <row r="33" spans="4:7">
      <c r="D33" s="134" t="s">
        <v>533</v>
      </c>
      <c r="E33" t="s">
        <v>539</v>
      </c>
      <c r="F33" s="135">
        <v>4.0000000000000001E-3</v>
      </c>
      <c r="G33" s="136">
        <v>3.0999999999999999E-3</v>
      </c>
    </row>
    <row r="34" spans="4:7" ht="15" thickBot="1">
      <c r="D34" s="137" t="s">
        <v>534</v>
      </c>
      <c r="E34" s="96"/>
      <c r="F34" s="138">
        <f>SUM(F29:F33)</f>
        <v>0.14400000000000002</v>
      </c>
      <c r="G34" s="139">
        <f>SUM(G29:G33)</f>
        <v>0.111</v>
      </c>
    </row>
    <row r="35" spans="4:7" ht="15" thickBot="1">
      <c r="D35" s="716" t="s">
        <v>540</v>
      </c>
      <c r="E35" s="717"/>
      <c r="F35" s="717"/>
      <c r="G35" s="718"/>
    </row>
    <row r="36" spans="4:7">
      <c r="D36" s="134" t="s">
        <v>541</v>
      </c>
      <c r="E36" t="s">
        <v>544</v>
      </c>
      <c r="F36" s="135">
        <v>7.9299999999999995E-2</v>
      </c>
      <c r="G36" s="136">
        <v>2.8199999999999999E-2</v>
      </c>
    </row>
    <row r="37" spans="4:7" ht="43.2">
      <c r="D37" s="134" t="s">
        <v>542</v>
      </c>
      <c r="E37" s="11" t="s">
        <v>545</v>
      </c>
      <c r="F37" s="135">
        <v>4.0000000000000001E-3</v>
      </c>
      <c r="G37" s="136">
        <v>3.0999999999999999E-3</v>
      </c>
    </row>
    <row r="38" spans="4:7" ht="15" thickBot="1">
      <c r="D38" s="137" t="s">
        <v>543</v>
      </c>
      <c r="E38" s="96"/>
      <c r="F38" s="138">
        <f>SUM(F36:F37)</f>
        <v>8.3299999999999999E-2</v>
      </c>
      <c r="G38" s="139">
        <f>SUM(G36:G37)</f>
        <v>3.1300000000000001E-2</v>
      </c>
    </row>
    <row r="39" spans="4:7" ht="15" thickBot="1">
      <c r="D39" s="713" t="s">
        <v>546</v>
      </c>
      <c r="E39" s="714"/>
      <c r="F39" s="147">
        <f>F15+F27+F34+F38</f>
        <v>0.85060000000000002</v>
      </c>
      <c r="G39" s="148">
        <f>G15+G27+G34+G38</f>
        <v>0.4788</v>
      </c>
    </row>
    <row r="40" spans="4:7">
      <c r="D40" s="80" t="s">
        <v>547</v>
      </c>
    </row>
  </sheetData>
  <mergeCells count="6">
    <mergeCell ref="D39:E39"/>
    <mergeCell ref="D3:G3"/>
    <mergeCell ref="D4:G4"/>
    <mergeCell ref="D16:G16"/>
    <mergeCell ref="D28:G28"/>
    <mergeCell ref="D35:G35"/>
  </mergeCells>
  <phoneticPr fontId="4" type="noConversion"/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B6371-EDE7-4618-866A-B33EDE1EA7A6}">
  <sheetPr>
    <pageSetUpPr fitToPage="1"/>
  </sheetPr>
  <dimension ref="B2:AL208"/>
  <sheetViews>
    <sheetView view="pageBreakPreview" topLeftCell="A178" zoomScale="70" zoomScaleNormal="55" zoomScaleSheetLayoutView="70" workbookViewId="0">
      <selection activeCell="K180" sqref="K180"/>
    </sheetView>
  </sheetViews>
  <sheetFormatPr defaultRowHeight="14.4"/>
  <cols>
    <col min="3" max="3" width="66.33203125" style="208" bestFit="1" customWidth="1"/>
    <col min="4" max="4" width="22.88671875" style="1" customWidth="1"/>
    <col min="5" max="5" width="24" customWidth="1"/>
    <col min="6" max="6" width="34.6640625" style="217" customWidth="1"/>
    <col min="7" max="8" width="14.33203125" style="166" hidden="1" customWidth="1"/>
    <col min="9" max="9" width="22.109375" style="166" hidden="1" customWidth="1"/>
    <col min="10" max="10" width="12.44140625" style="166" hidden="1" customWidth="1"/>
    <col min="11" max="11" width="21.5546875" style="166" customWidth="1"/>
    <col min="12" max="12" width="30.88671875" style="166" bestFit="1" customWidth="1"/>
    <col min="13" max="13" width="41.5546875" style="167" bestFit="1" customWidth="1"/>
    <col min="14" max="14" width="39.44140625" style="1" bestFit="1" customWidth="1"/>
  </cols>
  <sheetData>
    <row r="2" spans="2:14" ht="19.8">
      <c r="B2" s="165" t="s">
        <v>575</v>
      </c>
    </row>
    <row r="3" spans="2:14" ht="15" thickBot="1"/>
    <row r="4" spans="2:14" ht="15" thickBot="1">
      <c r="B4" s="212" t="s">
        <v>576</v>
      </c>
      <c r="C4" s="209" t="s">
        <v>242</v>
      </c>
      <c r="D4" s="168" t="s">
        <v>346</v>
      </c>
      <c r="E4" s="168" t="s">
        <v>416</v>
      </c>
      <c r="F4" s="218" t="s">
        <v>243</v>
      </c>
      <c r="G4" s="169" t="s">
        <v>52</v>
      </c>
      <c r="H4" s="169" t="s">
        <v>53</v>
      </c>
      <c r="I4" s="169" t="s">
        <v>343</v>
      </c>
      <c r="J4" s="169" t="s">
        <v>344</v>
      </c>
      <c r="K4" s="169" t="s">
        <v>345</v>
      </c>
      <c r="L4" s="169" t="s">
        <v>577</v>
      </c>
      <c r="M4" s="170" t="s">
        <v>578</v>
      </c>
      <c r="N4" s="171" t="s">
        <v>579</v>
      </c>
    </row>
    <row r="5" spans="2:14" ht="28.8">
      <c r="B5" s="719" t="s">
        <v>482</v>
      </c>
      <c r="C5" s="205" t="str">
        <f>CRONOGRAMA!C134</f>
        <v>INSTALAÇÃO-RESERVATÓRIO DO SISTEMA DE CHUVEIROS AUTOMÁTICOS</v>
      </c>
      <c r="D5" s="213" t="str">
        <f>CRONOGRAMA!D134</f>
        <v>2.30</v>
      </c>
      <c r="E5" s="172">
        <f>CRONOGRAMA!E134</f>
        <v>129</v>
      </c>
      <c r="F5" s="219" t="str">
        <f>CRONOGRAMA!F134</f>
        <v>PASSOU PARA A PLANILHA DO RESERVATÓRIO (PLANILHA EXTERNA)</v>
      </c>
      <c r="G5" s="173">
        <v>1868.1999999999998</v>
      </c>
      <c r="H5" s="173">
        <v>444.84000000000003</v>
      </c>
      <c r="I5" s="173">
        <v>129.68345776636139</v>
      </c>
      <c r="J5" s="173">
        <v>544.63320699378721</v>
      </c>
      <c r="K5" s="173">
        <f>CRONOGRAMA!K134</f>
        <v>0</v>
      </c>
      <c r="L5" s="173">
        <f>K5</f>
        <v>0</v>
      </c>
      <c r="M5" s="174">
        <f t="shared" ref="M5:M36" si="0">L5/$K$208</f>
        <v>0</v>
      </c>
      <c r="N5" s="175">
        <v>1</v>
      </c>
    </row>
    <row r="6" spans="2:14">
      <c r="B6" s="720"/>
      <c r="C6" s="205" t="str">
        <f>CRONOGRAMA!C199</f>
        <v>ADMINISTRAÇÃO LOCAL</v>
      </c>
      <c r="D6" s="213" t="str">
        <f>CRONOGRAMA!D199</f>
        <v>A</v>
      </c>
      <c r="E6" s="172">
        <f>CRONOGRAMA!E199</f>
        <v>194</v>
      </c>
      <c r="F6" s="219" t="str">
        <f>CRONOGRAMA!F199</f>
        <v>ADMINISTRAÇÃO LOCAL</v>
      </c>
      <c r="G6" s="176">
        <v>4189.7375000000002</v>
      </c>
      <c r="H6" s="176">
        <v>960.45</v>
      </c>
      <c r="I6" s="176">
        <v>279.9983747228257</v>
      </c>
      <c r="J6" s="176">
        <v>1221.427133651179</v>
      </c>
      <c r="K6" s="173">
        <f>CRONOGRAMA!K199</f>
        <v>188598.26425667654</v>
      </c>
      <c r="L6" s="176">
        <f>L5+K6</f>
        <v>188598.26425667654</v>
      </c>
      <c r="M6" s="174">
        <f t="shared" si="0"/>
        <v>5.674337263860315E-2</v>
      </c>
      <c r="N6" s="177">
        <v>2</v>
      </c>
    </row>
    <row r="7" spans="2:14" ht="100.8">
      <c r="B7" s="721"/>
      <c r="C7" s="206" t="str">
        <f>CRONOGRAMA!C146</f>
        <v>INSTALAÇÃO-CASA DE BOMBAS</v>
      </c>
      <c r="D7" s="211" t="s">
        <v>581</v>
      </c>
      <c r="E7" s="178">
        <f>CRONOGRAMA!E146</f>
        <v>141</v>
      </c>
      <c r="F7" s="220" t="s">
        <v>582</v>
      </c>
      <c r="G7" s="179">
        <v>4189.7375000000002</v>
      </c>
      <c r="H7" s="179">
        <v>960.45</v>
      </c>
      <c r="I7" s="179">
        <v>279.9983747228257</v>
      </c>
      <c r="J7" s="179">
        <v>1221.427133651179</v>
      </c>
      <c r="K7" s="180">
        <f>CRONOGRAMA!K144</f>
        <v>194116.70646138862</v>
      </c>
      <c r="L7" s="179">
        <f>L6+K7</f>
        <v>382714.97071806516</v>
      </c>
      <c r="M7" s="181">
        <f t="shared" si="0"/>
        <v>0.11514707350790733</v>
      </c>
      <c r="N7" s="182">
        <v>3</v>
      </c>
    </row>
    <row r="8" spans="2:14" ht="86.4">
      <c r="B8" s="721"/>
      <c r="C8" s="206" t="str">
        <f>CRONOGRAMA!C8</f>
        <v>INSTALAÇÃO-SISTEMA DE HIDRANTES</v>
      </c>
      <c r="D8" s="211" t="str">
        <f>CRONOGRAMA!D8</f>
        <v>1.5</v>
      </c>
      <c r="E8" s="178">
        <f>CRONOGRAMA!E8</f>
        <v>3</v>
      </c>
      <c r="F8" s="220" t="str">
        <f>CRONOGRAMA!F8</f>
        <v>TUBO DE AÇO GALVANIZADO COM COSTURA, CLASSE MÉDIA, CONEXÃO ROSQUEADA, DN 100 (4"), INSTALADO EM REDE  DE ALIMENTAÇÃO PARA HIDRANTE - FORNECIMENTO E INSTALAÇÃO. AF_10/2020</v>
      </c>
      <c r="G8" s="179"/>
      <c r="H8" s="179">
        <v>136160</v>
      </c>
      <c r="I8" s="179">
        <v>39694.49601984481</v>
      </c>
      <c r="J8" s="179">
        <v>0</v>
      </c>
      <c r="K8" s="180">
        <f>CRONOGRAMA!K8</f>
        <v>189889.69473542686</v>
      </c>
      <c r="L8" s="179">
        <f>L7+K8</f>
        <v>572604.66545349197</v>
      </c>
      <c r="M8" s="181">
        <f t="shared" si="0"/>
        <v>0.17227899755328718</v>
      </c>
      <c r="N8" s="183">
        <v>4</v>
      </c>
    </row>
    <row r="9" spans="2:14" ht="28.8">
      <c r="B9" s="721"/>
      <c r="C9" s="206" t="str">
        <f>CRONOGRAMA!C133</f>
        <v>INSTALAÇÃO-RESERVATÓRIO DO SISTEMA DE CHUVEIROS AUTOMÁTICOS</v>
      </c>
      <c r="D9" s="211" t="str">
        <f>CRONOGRAMA!D133</f>
        <v>2.32</v>
      </c>
      <c r="E9" s="178">
        <f>CRONOGRAMA!E133</f>
        <v>128</v>
      </c>
      <c r="F9" s="220" t="str">
        <f>CRONOGRAMA!F133</f>
        <v>PASSOU PARA A PLANILHA DO RESERVATÓRIO (PLANILHA EXTERNA)</v>
      </c>
      <c r="G9" s="179">
        <v>1868.1999999999998</v>
      </c>
      <c r="H9" s="179">
        <v>444.84000000000003</v>
      </c>
      <c r="I9" s="179">
        <v>129.68345776636139</v>
      </c>
      <c r="J9" s="179">
        <v>544.63320699378721</v>
      </c>
      <c r="K9" s="180">
        <f>CRONOGRAMA!K133</f>
        <v>0</v>
      </c>
      <c r="L9" s="179">
        <f t="shared" ref="L9:L70" si="1">L8+K9</f>
        <v>572604.66545349197</v>
      </c>
      <c r="M9" s="181">
        <f t="shared" si="0"/>
        <v>0.17227899755328718</v>
      </c>
      <c r="N9" s="184">
        <v>5</v>
      </c>
    </row>
    <row r="10" spans="2:14" ht="86.4">
      <c r="B10" s="721"/>
      <c r="C10" s="206" t="str">
        <f>CRONOGRAMA!C20</f>
        <v>INSTALAÇÃO-SISTEMA DE CHUVEIROS AUTOMÁTICOS VGA-1</v>
      </c>
      <c r="D10" s="211" t="str">
        <f>CRONOGRAMA!D20</f>
        <v>2.6</v>
      </c>
      <c r="E10" s="178">
        <f>CRONOGRAMA!E20</f>
        <v>15</v>
      </c>
      <c r="F10" s="220" t="str">
        <f>CRONOGRAMA!F20</f>
        <v>TUBO DE AÇO GALVANIZADO COM COSTURA, CLASSE MÉDIA, CONEXÃO ROSQUEADA, DN 50 (2"), INSTALADO EM REDE DE ALIMENTAÇÃO PARA SPRINKLER - FORNECIMENTO E INSTALAÇÃO. AF_10/2020</v>
      </c>
      <c r="G10" s="179">
        <v>39181.411260000001</v>
      </c>
      <c r="H10" s="179">
        <v>35122.673250000007</v>
      </c>
      <c r="I10" s="179">
        <v>10239.253918393324</v>
      </c>
      <c r="J10" s="179">
        <v>11422.490990834112</v>
      </c>
      <c r="K10" s="180">
        <f>CRONOGRAMA!K20</f>
        <v>152897.60641912057</v>
      </c>
      <c r="L10" s="179">
        <f t="shared" si="1"/>
        <v>725502.27187261253</v>
      </c>
      <c r="M10" s="181">
        <f t="shared" si="0"/>
        <v>0.21828114869070681</v>
      </c>
      <c r="N10" s="182">
        <v>6</v>
      </c>
    </row>
    <row r="11" spans="2:14" ht="86.4">
      <c r="B11" s="721"/>
      <c r="C11" s="206" t="str">
        <f>CRONOGRAMA!C49</f>
        <v>INSTALAÇÃO-SISTEMA DE CHUVEIROS AUTOMÁTICOS VGA-2</v>
      </c>
      <c r="D11" s="211" t="str">
        <f>CRONOGRAMA!D49</f>
        <v>2.6</v>
      </c>
      <c r="E11" s="178">
        <f>CRONOGRAMA!E49</f>
        <v>44</v>
      </c>
      <c r="F11" s="220" t="str">
        <f>CRONOGRAMA!F49</f>
        <v>TUBO DE AÇO GALVANIZADO COM COSTURA, CLASSE MÉDIA, CONEXÃO ROSQUEADA, DN 50 (2"), INSTALADO EM REDE DE ALIMENTAÇÃO PARA SPRINKLER - FORNECIMENTO E INSTALAÇÃO. AF_10/2020</v>
      </c>
      <c r="G11" s="179">
        <v>27975.521769999999</v>
      </c>
      <c r="H11" s="179">
        <v>6822.5621624999994</v>
      </c>
      <c r="I11" s="179">
        <v>1988.970083758079</v>
      </c>
      <c r="J11" s="179">
        <v>8155.656856289268</v>
      </c>
      <c r="K11" s="180">
        <f>CRONOGRAMA!K49</f>
        <v>148134.44111011369</v>
      </c>
      <c r="L11" s="179">
        <f t="shared" si="1"/>
        <v>873636.71298272628</v>
      </c>
      <c r="M11" s="181">
        <f t="shared" si="0"/>
        <v>0.26285021100764611</v>
      </c>
      <c r="N11" s="182">
        <v>7</v>
      </c>
    </row>
    <row r="12" spans="2:14" ht="86.4">
      <c r="B12" s="721"/>
      <c r="C12" s="206" t="str">
        <f>CRONOGRAMA!C19</f>
        <v>INSTALAÇÃO-SISTEMA DE CHUVEIROS AUTOMÁTICOS VGA-1</v>
      </c>
      <c r="D12" s="211" t="str">
        <f>CRONOGRAMA!D19</f>
        <v>2.5</v>
      </c>
      <c r="E12" s="178">
        <f>CRONOGRAMA!E19</f>
        <v>14</v>
      </c>
      <c r="F12" s="220" t="str">
        <f>CRONOGRAMA!F19</f>
        <v>TUBO DE AÇO GALVANIZADO COM COSTURA, CLASSE MÉDIA, CONEXÃO ROSQUEADA, DN 40 (1 1/2"), INSTALADO EM REDE DE ALIMENTAÇÃO PARA SPRINKLER - FORNECIMENTO E INSTALAÇÃO. AF_10/2020</v>
      </c>
      <c r="G12" s="179">
        <v>22986.337499999998</v>
      </c>
      <c r="H12" s="179">
        <v>2964.4262549999999</v>
      </c>
      <c r="I12" s="179">
        <v>864.2142052013877</v>
      </c>
      <c r="J12" s="179">
        <v>6701.1683490346604</v>
      </c>
      <c r="K12" s="180">
        <f>CRONOGRAMA!K19</f>
        <v>132967.6836576233</v>
      </c>
      <c r="L12" s="179">
        <f t="shared" si="1"/>
        <v>1006604.3966403496</v>
      </c>
      <c r="M12" s="181">
        <f t="shared" si="0"/>
        <v>0.30285606605840021</v>
      </c>
      <c r="N12" s="183">
        <v>8</v>
      </c>
    </row>
    <row r="13" spans="2:14" ht="86.4">
      <c r="B13" s="721"/>
      <c r="C13" s="206" t="str">
        <f>CRONOGRAMA!C48</f>
        <v>INSTALAÇÃO-SISTEMA DE CHUVEIROS AUTOMÁTICOS VGA-2</v>
      </c>
      <c r="D13" s="211" t="str">
        <f>CRONOGRAMA!D48</f>
        <v>2.5</v>
      </c>
      <c r="E13" s="178">
        <f>CRONOGRAMA!E48</f>
        <v>43</v>
      </c>
      <c r="F13" s="220" t="str">
        <f>CRONOGRAMA!F48</f>
        <v>TUBO DE AÇO GALVANIZADO COM COSTURA, CLASSE MÉDIA, CONEXÃO ROSQUEADA, DN 40 (1 1/2"), INSTALADO EM REDE DE ALIMENTAÇÃO PARA SPRINKLER - FORNECIMENTO E INSTALAÇÃO. AF_10/2020</v>
      </c>
      <c r="G13" s="179">
        <v>31238.503400000001</v>
      </c>
      <c r="H13" s="179">
        <v>4112.2808999999997</v>
      </c>
      <c r="I13" s="179">
        <v>1198.8463411981038</v>
      </c>
      <c r="J13" s="179">
        <v>9106.9084083226244</v>
      </c>
      <c r="K13" s="180">
        <f>CRONOGRAMA!K48</f>
        <v>128825.38821657586</v>
      </c>
      <c r="L13" s="179">
        <f t="shared" si="1"/>
        <v>1135429.7848569255</v>
      </c>
      <c r="M13" s="181">
        <f t="shared" si="0"/>
        <v>0.34161563278981616</v>
      </c>
      <c r="N13" s="184">
        <v>9</v>
      </c>
    </row>
    <row r="14" spans="2:14" ht="86.4">
      <c r="B14" s="721"/>
      <c r="C14" s="206" t="str">
        <f>CRONOGRAMA!C78</f>
        <v>INSTALAÇÃO-SISTEMA DE CHUVEIROS AUTOMÁTICOS VGA-3</v>
      </c>
      <c r="D14" s="211" t="str">
        <f>CRONOGRAMA!D78</f>
        <v>2.6</v>
      </c>
      <c r="E14" s="178">
        <f>CRONOGRAMA!E78</f>
        <v>73</v>
      </c>
      <c r="F14" s="220" t="str">
        <f>CRONOGRAMA!F78</f>
        <v>TUBO DE AÇO GALVANIZADO COM COSTURA, CLASSE MÉDIA, CONEXÃO ROSQUEADA, DN 50 (2"), INSTALADO EM REDE DE ALIMENTAÇÃO PARA SPRINKLER - FORNECIMENTO E INSTALAÇÃO. AF_10/2020</v>
      </c>
      <c r="G14" s="179">
        <v>17404.469399999998</v>
      </c>
      <c r="H14" s="179">
        <v>26859.254939999999</v>
      </c>
      <c r="I14" s="179">
        <v>7830.2334629246989</v>
      </c>
      <c r="J14" s="179">
        <v>5073.8957206654723</v>
      </c>
      <c r="K14" s="180">
        <f>CRONOGRAMA!K78</f>
        <v>124794.93109598002</v>
      </c>
      <c r="L14" s="179">
        <f t="shared" si="1"/>
        <v>1260224.7159529056</v>
      </c>
      <c r="M14" s="181">
        <f t="shared" si="0"/>
        <v>0.37916255988640168</v>
      </c>
      <c r="N14" s="182">
        <v>10</v>
      </c>
    </row>
    <row r="15" spans="2:14" ht="86.4">
      <c r="B15" s="722"/>
      <c r="C15" s="206" t="str">
        <f>CRONOGRAMA!C77</f>
        <v>INSTALAÇÃO-SISTEMA DE CHUVEIROS AUTOMÁTICOS VGA-3</v>
      </c>
      <c r="D15" s="211" t="str">
        <f>CRONOGRAMA!D77</f>
        <v>2.5</v>
      </c>
      <c r="E15" s="178">
        <f>CRONOGRAMA!E77</f>
        <v>72</v>
      </c>
      <c r="F15" s="220" t="str">
        <f>CRONOGRAMA!F77</f>
        <v>TUBO DE AÇO GALVANIZADO COM COSTURA, CLASSE MÉDIA, CONEXÃO ROSQUEADA, DN 40 (1 1/2"), INSTALADO EM REDE DE ALIMENTAÇÃO PARA SPRINKLER - FORNECIMENTO E INSTALAÇÃO. AF_10/2020</v>
      </c>
      <c r="G15" s="179">
        <v>11431.284299999999</v>
      </c>
      <c r="H15" s="179">
        <v>4270.4455500000004</v>
      </c>
      <c r="I15" s="179">
        <v>1244.9558158595696</v>
      </c>
      <c r="J15" s="179">
        <v>3332.5431047889574</v>
      </c>
      <c r="K15" s="180">
        <f>CRONOGRAMA!K77</f>
        <v>108528.14055544333</v>
      </c>
      <c r="L15" s="179">
        <f t="shared" si="1"/>
        <v>1368752.8565083488</v>
      </c>
      <c r="M15" s="181">
        <f t="shared" si="0"/>
        <v>0.4118153138530608</v>
      </c>
      <c r="N15" s="182">
        <v>11</v>
      </c>
    </row>
    <row r="16" spans="2:14" ht="28.8">
      <c r="B16" s="719" t="s">
        <v>534</v>
      </c>
      <c r="C16" s="207" t="str">
        <f>CRONOGRAMA!C45</f>
        <v>INSTALAÇÃO-SISTEMA DE CHUVEIROS AUTOMÁTICOS VGA-1</v>
      </c>
      <c r="D16" s="214" t="str">
        <f>CRONOGRAMA!D45</f>
        <v>2.2</v>
      </c>
      <c r="E16" s="185">
        <f>CRONOGRAMA!E45</f>
        <v>40</v>
      </c>
      <c r="F16" s="221" t="str">
        <f>CRONOGRAMA!F45</f>
        <v xml:space="preserve">SPK PENDENTE K8 ( K115) RESPOSTA RÁPIDA - INTERMEDIÁRIO </v>
      </c>
      <c r="G16" s="186">
        <v>17404.469399999998</v>
      </c>
      <c r="H16" s="186">
        <v>26859.254939999999</v>
      </c>
      <c r="I16" s="186">
        <v>7830.2334629246989</v>
      </c>
      <c r="J16" s="186">
        <v>5073.8957206654723</v>
      </c>
      <c r="K16" s="187">
        <f>CRONOGRAMA!K45</f>
        <v>55955.490890987807</v>
      </c>
      <c r="L16" s="186">
        <f t="shared" si="1"/>
        <v>1424708.3473993368</v>
      </c>
      <c r="M16" s="188">
        <f t="shared" si="0"/>
        <v>0.42865058687806634</v>
      </c>
      <c r="N16" s="189">
        <v>12</v>
      </c>
    </row>
    <row r="17" spans="2:14" ht="28.8">
      <c r="B17" s="723"/>
      <c r="C17" s="207" t="str">
        <f>CRONOGRAMA!C74</f>
        <v>INSTALAÇÃO-SISTEMA DE CHUVEIROS AUTOMÁTICOS VGA-2</v>
      </c>
      <c r="D17" s="214" t="str">
        <f>CRONOGRAMA!D74</f>
        <v>2.2</v>
      </c>
      <c r="E17" s="185">
        <f>CRONOGRAMA!E74</f>
        <v>69</v>
      </c>
      <c r="F17" s="221" t="str">
        <f>CRONOGRAMA!F74</f>
        <v xml:space="preserve">SPK PENDENTE K8 ( K115) RESPOSTA RÁPIDA - INTERMEDIÁRIO </v>
      </c>
      <c r="G17" s="186">
        <v>29468.135579999998</v>
      </c>
      <c r="H17" s="186">
        <v>19051.67628</v>
      </c>
      <c r="I17" s="186">
        <v>5554.1031747049919</v>
      </c>
      <c r="J17" s="186">
        <v>8590.7960523836446</v>
      </c>
      <c r="K17" s="187">
        <f>CRONOGRAMA!K74</f>
        <v>54212.329180988192</v>
      </c>
      <c r="L17" s="186">
        <f t="shared" si="1"/>
        <v>1478920.676580325</v>
      </c>
      <c r="M17" s="188">
        <f t="shared" si="0"/>
        <v>0.4449613965689595</v>
      </c>
      <c r="N17" s="190">
        <v>13</v>
      </c>
    </row>
    <row r="18" spans="2:14" ht="28.8">
      <c r="B18" s="723"/>
      <c r="C18" s="207" t="str">
        <f>CRONOGRAMA!C103</f>
        <v>INSTALAÇÃO-SISTEMA DE CHUVEIROS AUTOMÁTICOS VGA-3</v>
      </c>
      <c r="D18" s="214" t="str">
        <f>CRONOGRAMA!D103</f>
        <v>2.2</v>
      </c>
      <c r="E18" s="185">
        <f>CRONOGRAMA!E103</f>
        <v>98</v>
      </c>
      <c r="F18" s="221" t="str">
        <f>CRONOGRAMA!F103</f>
        <v xml:space="preserve">SPK PENDENTE K8 ( K115) RESPOSTA RÁPIDA - INTERMEDIÁRIO </v>
      </c>
      <c r="G18" s="186">
        <v>4719.75</v>
      </c>
      <c r="H18" s="186">
        <v>1353.4290000000001</v>
      </c>
      <c r="I18" s="186">
        <v>394.56288229760975</v>
      </c>
      <c r="J18" s="186">
        <v>1375.9407872331267</v>
      </c>
      <c r="K18" s="187">
        <f>CRONOGRAMA!K103</f>
        <v>45670.836801990052</v>
      </c>
      <c r="L18" s="186">
        <f t="shared" si="1"/>
        <v>1524591.5133823152</v>
      </c>
      <c r="M18" s="188">
        <f t="shared" si="0"/>
        <v>0.45870233592270238</v>
      </c>
      <c r="N18" s="191">
        <v>14</v>
      </c>
    </row>
    <row r="19" spans="2:14" ht="43.2">
      <c r="B19" s="723"/>
      <c r="C19" s="207" t="str">
        <f>CRONOGRAMA!C136</f>
        <v>INSTALAÇÃO-REDE GERAL</v>
      </c>
      <c r="D19" s="214" t="str">
        <f>CRONOGRAMA!D136</f>
        <v>3.1</v>
      </c>
      <c r="E19" s="185">
        <f>CRONOGRAMA!E136</f>
        <v>131</v>
      </c>
      <c r="F19" s="221" t="str">
        <f>CRONOGRAMA!F136</f>
        <v>TUBO AÇO  COM COSTURA, NBR 5590, SCH 40, DN = 200MM -FORNCECIMENTO E INSTALAÇÃO</v>
      </c>
      <c r="G19" s="186">
        <v>0</v>
      </c>
      <c r="H19" s="186">
        <v>675.92</v>
      </c>
      <c r="I19" s="186">
        <v>197.04982189874781</v>
      </c>
      <c r="J19" s="186">
        <v>0</v>
      </c>
      <c r="K19" s="187">
        <f>CRONOGRAMA!K136</f>
        <v>62767.130496882994</v>
      </c>
      <c r="L19" s="186">
        <f t="shared" si="1"/>
        <v>1587358.6438791982</v>
      </c>
      <c r="M19" s="188">
        <f t="shared" si="0"/>
        <v>0.4775870201973848</v>
      </c>
      <c r="N19" s="191">
        <v>15</v>
      </c>
    </row>
    <row r="20" spans="2:14">
      <c r="B20" s="723"/>
      <c r="C20" s="207" t="str">
        <f>CRONOGRAMA!C33</f>
        <v>INSTALAÇÃO-SISTEMA DE CHUVEIROS AUTOMÁTICOS VGA-1</v>
      </c>
      <c r="D20" s="214" t="str">
        <f>CRONOGRAMA!D33</f>
        <v>2.19</v>
      </c>
      <c r="E20" s="185">
        <f>CRONOGRAMA!E33</f>
        <v>28</v>
      </c>
      <c r="F20" s="221" t="str">
        <f>CRONOGRAMA!F33</f>
        <v>TE DE REDUCAO DE   1.1/2"X3/4"</v>
      </c>
      <c r="G20" s="186">
        <v>58913.55</v>
      </c>
      <c r="H20" s="186">
        <v>3709.0305000000003</v>
      </c>
      <c r="I20" s="186">
        <v>1081.2874296396374</v>
      </c>
      <c r="J20" s="186">
        <v>17174.968243169275</v>
      </c>
      <c r="K20" s="187">
        <f>CRONOGRAMA!K33</f>
        <v>48132.821573535599</v>
      </c>
      <c r="L20" s="186">
        <f t="shared" si="1"/>
        <v>1635491.4654527339</v>
      </c>
      <c r="M20" s="188">
        <f t="shared" si="0"/>
        <v>0.49206869446654683</v>
      </c>
      <c r="N20" s="189">
        <v>16</v>
      </c>
    </row>
    <row r="21" spans="2:14">
      <c r="B21" s="723"/>
      <c r="C21" s="207" t="str">
        <f>CRONOGRAMA!C62</f>
        <v>INSTALAÇÃO-SISTEMA DE CHUVEIROS AUTOMÁTICOS VGA-2</v>
      </c>
      <c r="D21" s="214" t="str">
        <f>CRONOGRAMA!D62</f>
        <v>2.19</v>
      </c>
      <c r="E21" s="185">
        <f>CRONOGRAMA!E62</f>
        <v>57</v>
      </c>
      <c r="F21" s="221" t="str">
        <f>CRONOGRAMA!F62</f>
        <v>TE DE REDUCAO DE   1.1/2"X3/4"</v>
      </c>
      <c r="G21" s="186">
        <v>6588.9161659999991</v>
      </c>
      <c r="H21" s="186">
        <v>1141.1172674999998</v>
      </c>
      <c r="I21" s="186">
        <v>332.66799965448683</v>
      </c>
      <c r="J21" s="186">
        <v>1920.8556589775123</v>
      </c>
      <c r="K21" s="187">
        <f>CRONOGRAMA!K62</f>
        <v>46633.356727008009</v>
      </c>
      <c r="L21" s="186">
        <f t="shared" si="1"/>
        <v>1682124.8221797419</v>
      </c>
      <c r="M21" s="188">
        <f t="shared" si="0"/>
        <v>0.50609922623511194</v>
      </c>
      <c r="N21" s="190">
        <v>17</v>
      </c>
    </row>
    <row r="22" spans="2:14" ht="28.8">
      <c r="B22" s="723"/>
      <c r="C22" s="207" t="str">
        <f>CRONOGRAMA!C6</f>
        <v>PROJETO EXECUTIVO</v>
      </c>
      <c r="D22" s="214" t="str">
        <f>CRONOGRAMA!D6</f>
        <v>P1</v>
      </c>
      <c r="E22" s="185">
        <f>CRONOGRAMA!E6</f>
        <v>1</v>
      </c>
      <c r="F22" s="221" t="str">
        <f>CRONOGRAMA!F6</f>
        <v>PROJETO EXECUTIVO DO SISTEMA DE PROTEÇÃO E COMABTE A INCENDIO</v>
      </c>
      <c r="G22" s="186">
        <v>280900</v>
      </c>
      <c r="H22" s="186">
        <v>0</v>
      </c>
      <c r="I22" s="186">
        <v>0</v>
      </c>
      <c r="J22" s="186">
        <v>42193.591374169649</v>
      </c>
      <c r="K22" s="187">
        <f>CRONOGRAMA!K6</f>
        <v>24307.854506385862</v>
      </c>
      <c r="L22" s="186">
        <f t="shared" si="1"/>
        <v>1706432.6766861277</v>
      </c>
      <c r="M22" s="188">
        <f t="shared" si="0"/>
        <v>0.51341270630205249</v>
      </c>
      <c r="N22" s="191">
        <v>18</v>
      </c>
    </row>
    <row r="23" spans="2:14" ht="28.8">
      <c r="B23" s="723"/>
      <c r="C23" s="207" t="str">
        <f>CRONOGRAMA!C44</f>
        <v>INSTALAÇÃO-SISTEMA DE CHUVEIROS AUTOMÁTICOS VGA-1</v>
      </c>
      <c r="D23" s="214" t="str">
        <f>CRONOGRAMA!D44</f>
        <v>2.1</v>
      </c>
      <c r="E23" s="185">
        <f>CRONOGRAMA!E44</f>
        <v>39</v>
      </c>
      <c r="F23" s="221" t="str">
        <f>CRONOGRAMA!F44</f>
        <v xml:space="preserve">SPK PENDENTE K11 ( K160) RESPOSTA PADRÃO - COBERTURA </v>
      </c>
      <c r="G23" s="186">
        <v>31818.750560999997</v>
      </c>
      <c r="H23" s="186">
        <v>15333.596460000001</v>
      </c>
      <c r="I23" s="186">
        <v>4470.177612010697</v>
      </c>
      <c r="J23" s="186">
        <v>9276.0668882201026</v>
      </c>
      <c r="K23" s="187">
        <f>CRONOGRAMA!K44</f>
        <v>29792.605081161473</v>
      </c>
      <c r="L23" s="186">
        <f t="shared" si="1"/>
        <v>1736225.2817672892</v>
      </c>
      <c r="M23" s="188">
        <f t="shared" si="0"/>
        <v>0.52237637783242419</v>
      </c>
      <c r="N23" s="191">
        <v>19</v>
      </c>
    </row>
    <row r="24" spans="2:14" ht="43.2">
      <c r="B24" s="723"/>
      <c r="C24" s="207" t="str">
        <f>CRONOGRAMA!C22</f>
        <v>INSTALAÇÃO-SISTEMA DE CHUVEIROS AUTOMÁTICOS VGA-1</v>
      </c>
      <c r="D24" s="214" t="str">
        <f>CRONOGRAMA!D22</f>
        <v>2.8</v>
      </c>
      <c r="E24" s="185">
        <f>CRONOGRAMA!E22</f>
        <v>17</v>
      </c>
      <c r="F24" s="221" t="str">
        <f>CRONOGRAMA!F22</f>
        <v xml:space="preserve">TUBO AÇO GALVANIZADO  COM COSTURA, NBR 5580, CLASSE L, DN = 100MM </v>
      </c>
      <c r="G24" s="186">
        <v>0</v>
      </c>
      <c r="H24" s="186">
        <v>21572</v>
      </c>
      <c r="I24" s="186">
        <v>6288.8489140723577</v>
      </c>
      <c r="J24" s="186">
        <v>0</v>
      </c>
      <c r="K24" s="187">
        <f>CRONOGRAMA!K22</f>
        <v>52211.676312337418</v>
      </c>
      <c r="L24" s="186">
        <f t="shared" si="1"/>
        <v>1788436.9580796266</v>
      </c>
      <c r="M24" s="188">
        <f t="shared" si="0"/>
        <v>0.53808525307978583</v>
      </c>
      <c r="N24" s="189">
        <v>20</v>
      </c>
    </row>
    <row r="25" spans="2:14" ht="86.4">
      <c r="B25" s="723"/>
      <c r="C25" s="207" t="str">
        <f>CRONOGRAMA!C107</f>
        <v>INSTALAÇÃO-SISTEMA DE CHUVEIROS AUTOMÁTICOS VGA-4</v>
      </c>
      <c r="D25" s="214" t="str">
        <f>CRONOGRAMA!D107</f>
        <v>2.6</v>
      </c>
      <c r="E25" s="185">
        <f>CRONOGRAMA!E107</f>
        <v>102</v>
      </c>
      <c r="F25" s="221" t="str">
        <f>CRONOGRAMA!F107</f>
        <v>TUBO DE AÇO GALVANIZADO COM COSTURA, CLASSE MÉDIA, CONEXÃO ROSQUEADA, DN 50 (2"), INSTALADO EM REDE DE ALIMENTAÇÃO PARA SPRINKLER - FORNECIMENTO E INSTALAÇÃO. AF_10/2020</v>
      </c>
      <c r="G25" s="186">
        <v>1428</v>
      </c>
      <c r="H25" s="186">
        <v>158.76</v>
      </c>
      <c r="I25" s="186">
        <v>46.283036046640433</v>
      </c>
      <c r="J25" s="186">
        <v>416.30244063115737</v>
      </c>
      <c r="K25" s="187">
        <f>CRONOGRAMA!K107</f>
        <v>50489.55227547283</v>
      </c>
      <c r="L25" s="186">
        <f t="shared" si="1"/>
        <v>1838926.5103550993</v>
      </c>
      <c r="M25" s="188">
        <f t="shared" si="0"/>
        <v>0.55327599457687771</v>
      </c>
      <c r="N25" s="190">
        <v>21</v>
      </c>
    </row>
    <row r="26" spans="2:14" ht="28.8">
      <c r="B26" s="723"/>
      <c r="C26" s="207" t="str">
        <f>CRONOGRAMA!C73</f>
        <v>INSTALAÇÃO-SISTEMA DE CHUVEIROS AUTOMÁTICOS VGA-2</v>
      </c>
      <c r="D26" s="214" t="str">
        <f>CRONOGRAMA!D73</f>
        <v>2.1</v>
      </c>
      <c r="E26" s="185">
        <f>CRONOGRAMA!E73</f>
        <v>68</v>
      </c>
      <c r="F26" s="221" t="str">
        <f>CRONOGRAMA!F73</f>
        <v xml:space="preserve">SPK PENDENTE K11 ( K160) RESPOSTA PADRÃO - COBERTURA </v>
      </c>
      <c r="G26" s="186">
        <v>15675</v>
      </c>
      <c r="H26" s="186">
        <v>3741.3778499999999</v>
      </c>
      <c r="I26" s="186">
        <v>1090.7175982341403</v>
      </c>
      <c r="J26" s="186">
        <v>4569.7064123903301</v>
      </c>
      <c r="K26" s="187">
        <f>CRONOGRAMA!K73</f>
        <v>28864.486542807532</v>
      </c>
      <c r="L26" s="186">
        <f t="shared" si="1"/>
        <v>1867790.9968979068</v>
      </c>
      <c r="M26" s="188">
        <f t="shared" si="0"/>
        <v>0.56196042400349944</v>
      </c>
      <c r="N26" s="191">
        <v>22</v>
      </c>
    </row>
    <row r="27" spans="2:14">
      <c r="B27" s="723"/>
      <c r="C27" s="207" t="str">
        <f>CRONOGRAMA!C91</f>
        <v>INSTALAÇÃO-SISTEMA DE CHUVEIROS AUTOMÁTICOS VGA-3</v>
      </c>
      <c r="D27" s="214" t="str">
        <f>CRONOGRAMA!D91</f>
        <v>2.19</v>
      </c>
      <c r="E27" s="185">
        <f>CRONOGRAMA!E91</f>
        <v>86</v>
      </c>
      <c r="F27" s="221" t="str">
        <f>CRONOGRAMA!F91</f>
        <v>TE DE REDUCAO DE   1.1/2"X3/4"</v>
      </c>
      <c r="G27" s="186">
        <v>2682.06</v>
      </c>
      <c r="H27" s="186">
        <v>158.76</v>
      </c>
      <c r="I27" s="186">
        <v>46.283036046640433</v>
      </c>
      <c r="J27" s="186">
        <v>781.89644532157001</v>
      </c>
      <c r="K27" s="187">
        <f>CRONOGRAMA!K91</f>
        <v>39285.978979022824</v>
      </c>
      <c r="L27" s="186">
        <f t="shared" si="1"/>
        <v>1907076.9758769297</v>
      </c>
      <c r="M27" s="188">
        <f t="shared" si="0"/>
        <v>0.57378035751913947</v>
      </c>
      <c r="N27" s="191">
        <v>23</v>
      </c>
    </row>
    <row r="28" spans="2:14" ht="43.2">
      <c r="B28" s="723"/>
      <c r="C28" s="207" t="str">
        <f>CRONOGRAMA!C51</f>
        <v>INSTALAÇÃO-SISTEMA DE CHUVEIROS AUTOMÁTICOS VGA-2</v>
      </c>
      <c r="D28" s="214" t="str">
        <f>CRONOGRAMA!D51</f>
        <v>2.8</v>
      </c>
      <c r="E28" s="185">
        <f>CRONOGRAMA!E51</f>
        <v>46</v>
      </c>
      <c r="F28" s="221" t="str">
        <f>CRONOGRAMA!F51</f>
        <v xml:space="preserve">TUBO AÇO GALVANIZADO  COM COSTURA, NBR 5580, CLASSE L, DN = 100MM </v>
      </c>
      <c r="G28" s="186">
        <v>0</v>
      </c>
      <c r="H28" s="186">
        <v>10786</v>
      </c>
      <c r="I28" s="186">
        <v>3144.4244570361789</v>
      </c>
      <c r="J28" s="186">
        <v>0</v>
      </c>
      <c r="K28" s="187">
        <f>CRONOGRAMA!K51</f>
        <v>50585.14433999046</v>
      </c>
      <c r="L28" s="186">
        <f t="shared" si="1"/>
        <v>1957662.1202169203</v>
      </c>
      <c r="M28" s="188">
        <f t="shared" si="0"/>
        <v>0.58899985970583579</v>
      </c>
      <c r="N28" s="189">
        <v>24</v>
      </c>
    </row>
    <row r="29" spans="2:14">
      <c r="B29" s="723"/>
      <c r="C29" s="207" t="str">
        <f>CRONOGRAMA!C176</f>
        <v>INSTALAÇÃO-SISTEMA DE ALARME DE INCÊNDIO</v>
      </c>
      <c r="D29" s="214" t="str">
        <f>CRONOGRAMA!D176</f>
        <v>5.8</v>
      </c>
      <c r="E29" s="185">
        <f>CRONOGRAMA!E176</f>
        <v>171</v>
      </c>
      <c r="F29" s="221" t="str">
        <f>CRONOGRAMA!F176</f>
        <v>INFRAESTRUTURA PARA ALARME</v>
      </c>
      <c r="G29" s="186">
        <v>270.42</v>
      </c>
      <c r="H29" s="186">
        <v>125.26164</v>
      </c>
      <c r="I29" s="186">
        <v>36.517315440799308</v>
      </c>
      <c r="J29" s="186">
        <v>78.835088232127163</v>
      </c>
      <c r="K29" s="187">
        <f>CRONOGRAMA!K176</f>
        <v>39184.103897838999</v>
      </c>
      <c r="L29" s="186">
        <f t="shared" si="1"/>
        <v>1996846.2241147594</v>
      </c>
      <c r="M29" s="188">
        <f t="shared" si="0"/>
        <v>0.60078914216688106</v>
      </c>
      <c r="N29" s="190">
        <v>25</v>
      </c>
    </row>
    <row r="30" spans="2:14" ht="57.6">
      <c r="B30" s="723"/>
      <c r="C30" s="207" t="str">
        <f>CRONOGRAMA!C158</f>
        <v>INSTALAÇÃO-CASA DE BOMBAS</v>
      </c>
      <c r="D30" s="214" t="str">
        <f>CRONOGRAMA!D158</f>
        <v>4.16</v>
      </c>
      <c r="E30" s="185">
        <f>CRONOGRAMA!E158</f>
        <v>153</v>
      </c>
      <c r="F30" s="221" t="str">
        <f>CRONOGRAMA!F158</f>
        <v xml:space="preserve">VALVULA GAVETA  OS&amp;Y DIAM 8", HASTE ASCENDENTE, CORPO EM FERRO FUNDIDO, EXTREMIDADES FLANGEADAS ANSI B 16.5, 150 LIBRAS </v>
      </c>
      <c r="G30" s="186">
        <v>2294.42562</v>
      </c>
      <c r="H30" s="186">
        <v>339.34949999999998</v>
      </c>
      <c r="I30" s="186">
        <v>98.929989549693929</v>
      </c>
      <c r="J30" s="186">
        <v>668.89004583519363</v>
      </c>
      <c r="K30" s="187">
        <f>CRONOGRAMA!K158</f>
        <v>21717.720291654088</v>
      </c>
      <c r="L30" s="186">
        <f t="shared" si="1"/>
        <v>2018563.9444064135</v>
      </c>
      <c r="M30" s="188">
        <f t="shared" si="0"/>
        <v>0.60732333112258174</v>
      </c>
      <c r="N30" s="191">
        <v>26</v>
      </c>
    </row>
    <row r="31" spans="2:14" ht="86.4">
      <c r="B31" s="723"/>
      <c r="C31" s="207" t="str">
        <f>CRONOGRAMA!C106</f>
        <v>INSTALAÇÃO-SISTEMA DE CHUVEIROS AUTOMÁTICOS VGA-4</v>
      </c>
      <c r="D31" s="214" t="str">
        <f>CRONOGRAMA!D106</f>
        <v>2.5</v>
      </c>
      <c r="E31" s="185">
        <f>CRONOGRAMA!E106</f>
        <v>101</v>
      </c>
      <c r="F31" s="221" t="str">
        <f>CRONOGRAMA!F106</f>
        <v>TUBO DE AÇO GALVANIZADO COM COSTURA, CLASSE MÉDIA, CONEXÃO ROSQUEADA, DN 40 (1 1/2"), INSTALADO EM REDE DE ALIMENTAÇÃO PARA SPRINKLER - FORNECIMENTO E INSTALAÇÃO. AF_10/2020</v>
      </c>
      <c r="G31" s="186">
        <v>4719.75</v>
      </c>
      <c r="H31" s="186">
        <v>1353.4290000000001</v>
      </c>
      <c r="I31" s="186">
        <v>394.56288229760975</v>
      </c>
      <c r="J31" s="186">
        <v>1375.9407872331267</v>
      </c>
      <c r="K31" s="187">
        <f>CRONOGRAMA!K106</f>
        <v>43908.331675103022</v>
      </c>
      <c r="L31" s="186">
        <f t="shared" si="1"/>
        <v>2062472.2760815164</v>
      </c>
      <c r="M31" s="188">
        <f t="shared" si="0"/>
        <v>0.62053398730756593</v>
      </c>
      <c r="N31" s="191">
        <v>27</v>
      </c>
    </row>
    <row r="32" spans="2:14" ht="43.2">
      <c r="B32" s="723"/>
      <c r="C32" s="207" t="str">
        <f>CRONOGRAMA!C14</f>
        <v>INSTALAÇÃO-SISTEMA DE HIDRANTES</v>
      </c>
      <c r="D32" s="214" t="str">
        <f>CRONOGRAMA!D14</f>
        <v>1.1</v>
      </c>
      <c r="E32" s="185">
        <f>CRONOGRAMA!E14</f>
        <v>9</v>
      </c>
      <c r="F32" s="221" t="str">
        <f>CRONOGRAMA!F14</f>
        <v>ABRIGO DE HIDRANTE DUPLO SOBREPOR 120X90X30 -FORNECIMENTO E INSTALAÇÃO</v>
      </c>
      <c r="G32" s="186">
        <v>141029.65205</v>
      </c>
      <c r="H32" s="186">
        <v>38728.608974999996</v>
      </c>
      <c r="I32" s="186">
        <v>11290.48630150017</v>
      </c>
      <c r="J32" s="186">
        <v>41114.137499844473</v>
      </c>
      <c r="K32" s="187">
        <f>CRONOGRAMA!K14</f>
        <v>54436.338080105314</v>
      </c>
      <c r="L32" s="186">
        <f t="shared" si="1"/>
        <v>2116908.6141616218</v>
      </c>
      <c r="M32" s="188">
        <f t="shared" si="0"/>
        <v>0.63691219433367352</v>
      </c>
      <c r="N32" s="189">
        <v>28</v>
      </c>
    </row>
    <row r="33" spans="2:14" ht="28.8">
      <c r="B33" s="723"/>
      <c r="C33" s="207" t="str">
        <f>CRONOGRAMA!C102</f>
        <v>INSTALAÇÃO-SISTEMA DE CHUVEIROS AUTOMÁTICOS VGA-3</v>
      </c>
      <c r="D33" s="214" t="str">
        <f>CRONOGRAMA!D102</f>
        <v>2.1</v>
      </c>
      <c r="E33" s="185">
        <f>CRONOGRAMA!E102</f>
        <v>97</v>
      </c>
      <c r="F33" s="221" t="str">
        <f>CRONOGRAMA!F102</f>
        <v xml:space="preserve">SPK PENDENTE K11 ( K160) RESPOSTA PADRÃO - COBERTURA </v>
      </c>
      <c r="G33" s="186">
        <v>1415.8300000000002</v>
      </c>
      <c r="H33" s="186">
        <v>525.72</v>
      </c>
      <c r="I33" s="186">
        <v>153.26226826933618</v>
      </c>
      <c r="J33" s="186">
        <v>412.75454097955992</v>
      </c>
      <c r="K33" s="187">
        <f>CRONOGRAMA!K102</f>
        <v>24316.705704873228</v>
      </c>
      <c r="L33" s="186">
        <f t="shared" si="1"/>
        <v>2141225.3198664952</v>
      </c>
      <c r="M33" s="188">
        <f t="shared" si="0"/>
        <v>0.64422833745192087</v>
      </c>
      <c r="N33" s="190">
        <v>29</v>
      </c>
    </row>
    <row r="34" spans="2:14" ht="43.2">
      <c r="B34" s="723"/>
      <c r="C34" s="207" t="str">
        <f>CRONOGRAMA!C80</f>
        <v>INSTALAÇÃO-SISTEMA DE CHUVEIROS AUTOMÁTICOS VGA-3</v>
      </c>
      <c r="D34" s="214" t="str">
        <f>CRONOGRAMA!D80</f>
        <v>2.8</v>
      </c>
      <c r="E34" s="185">
        <f>CRONOGRAMA!E80</f>
        <v>75</v>
      </c>
      <c r="F34" s="221" t="str">
        <f>CRONOGRAMA!F80</f>
        <v xml:space="preserve">TUBO AÇO GALVANIZADO  COM COSTURA, NBR 5580, CLASSE L, DN = 100MM </v>
      </c>
      <c r="G34" s="186">
        <v>8916.3157600000013</v>
      </c>
      <c r="H34" s="186">
        <v>5215.5041400000009</v>
      </c>
      <c r="I34" s="186">
        <v>1520.4671586862087</v>
      </c>
      <c r="J34" s="186">
        <v>2599.3585520490569</v>
      </c>
      <c r="K34" s="187">
        <f>CRONOGRAMA!K80</f>
        <v>42615.137675490354</v>
      </c>
      <c r="L34" s="186">
        <f t="shared" si="1"/>
        <v>2183840.4575419854</v>
      </c>
      <c r="M34" s="188">
        <f t="shared" si="0"/>
        <v>0.65704991164135629</v>
      </c>
      <c r="N34" s="191">
        <v>30</v>
      </c>
    </row>
    <row r="35" spans="2:14" ht="86.4">
      <c r="B35" s="723"/>
      <c r="C35" s="207" t="str">
        <f>CRONOGRAMA!C17</f>
        <v>INSTALAÇÃO-SISTEMA DE CHUVEIROS AUTOMÁTICOS VGA-1</v>
      </c>
      <c r="D35" s="214" t="str">
        <f>CRONOGRAMA!D17</f>
        <v>2.3</v>
      </c>
      <c r="E35" s="185">
        <f>CRONOGRAMA!E17</f>
        <v>12</v>
      </c>
      <c r="F35" s="221" t="str">
        <f>CRONOGRAMA!F17</f>
        <v>TUBO DE AÇO GALVANIZADO COM COSTURA, CLASSE MÉDIA, CONEXÃO ROSQUEADA, DN 25 (1"), INSTALADO EM REDE DE ALIMENTAÇÃO PARA SPRINKLER - FORNECIMENTO E INSTALAÇÃO. AF_10/2020</v>
      </c>
      <c r="G35" s="186">
        <v>94768.92</v>
      </c>
      <c r="H35" s="186">
        <v>7051.3254000000015</v>
      </c>
      <c r="I35" s="186">
        <v>2055.6610460115353</v>
      </c>
      <c r="J35" s="186">
        <v>27627.824013990827</v>
      </c>
      <c r="K35" s="187">
        <f>CRONOGRAMA!K17</f>
        <v>38219.324595520586</v>
      </c>
      <c r="L35" s="186">
        <f t="shared" si="1"/>
        <v>2222059.7821375062</v>
      </c>
      <c r="M35" s="188">
        <f t="shared" si="0"/>
        <v>0.6685489219109727</v>
      </c>
      <c r="N35" s="191">
        <v>31</v>
      </c>
    </row>
    <row r="36" spans="2:14">
      <c r="B36" s="723"/>
      <c r="C36" s="207" t="str">
        <f>CRONOGRAMA!C34</f>
        <v>INSTALAÇÃO-SISTEMA DE CHUVEIROS AUTOMÁTICOS VGA-1</v>
      </c>
      <c r="D36" s="214" t="str">
        <f>CRONOGRAMA!D34</f>
        <v>2.20</v>
      </c>
      <c r="E36" s="185">
        <f>CRONOGRAMA!E34</f>
        <v>29</v>
      </c>
      <c r="F36" s="221" t="str">
        <f>CRONOGRAMA!F34</f>
        <v>TE DE REDUCAO DE   2"X1"</v>
      </c>
      <c r="G36" s="186">
        <v>50893.716235</v>
      </c>
      <c r="H36" s="186">
        <v>8735.5705500000022</v>
      </c>
      <c r="I36" s="186">
        <v>2546.6662046713323</v>
      </c>
      <c r="J36" s="186">
        <v>14836.959580826371</v>
      </c>
      <c r="K36" s="187">
        <f>CRONOGRAMA!K34</f>
        <v>32053.975550030009</v>
      </c>
      <c r="L36" s="186">
        <f t="shared" si="1"/>
        <v>2254113.7576875361</v>
      </c>
      <c r="M36" s="188">
        <f t="shared" si="0"/>
        <v>0.67819296973056786</v>
      </c>
      <c r="N36" s="189">
        <v>32</v>
      </c>
    </row>
    <row r="37" spans="2:14" ht="86.4">
      <c r="B37" s="723"/>
      <c r="C37" s="207" t="str">
        <f>CRONOGRAMA!C46</f>
        <v>INSTALAÇÃO-SISTEMA DE CHUVEIROS AUTOMÁTICOS VGA-2</v>
      </c>
      <c r="D37" s="214" t="str">
        <f>CRONOGRAMA!D46</f>
        <v>2.3</v>
      </c>
      <c r="E37" s="185">
        <f>CRONOGRAMA!E46</f>
        <v>41</v>
      </c>
      <c r="F37" s="221" t="str">
        <f>CRONOGRAMA!F46</f>
        <v>TUBO DE AÇO GALVANIZADO COM COSTURA, CLASSE MÉDIA, CONEXÃO ROSQUEADA, DN 25 (1"), INSTALADO EM REDE DE ALIMENTAÇÃO PARA SPRINKLER - FORNECIMENTO E INSTALAÇÃO. AF_10/2020</v>
      </c>
      <c r="G37" s="186">
        <v>31238.503400000001</v>
      </c>
      <c r="H37" s="186">
        <v>4112.2808999999997</v>
      </c>
      <c r="I37" s="186">
        <v>1198.8463411981038</v>
      </c>
      <c r="J37" s="186">
        <v>9106.9084083226244</v>
      </c>
      <c r="K37" s="187">
        <f>CRONOGRAMA!K46</f>
        <v>37028.691430551095</v>
      </c>
      <c r="L37" s="186">
        <f t="shared" si="1"/>
        <v>2291142.4491180871</v>
      </c>
      <c r="M37" s="188">
        <f t="shared" ref="M37:M68" si="2">L37/$K$208</f>
        <v>0.68933375538119301</v>
      </c>
      <c r="N37" s="190">
        <v>33</v>
      </c>
    </row>
    <row r="38" spans="2:14" ht="43.2">
      <c r="B38" s="723"/>
      <c r="C38" s="207" t="str">
        <f>CRONOGRAMA!C139</f>
        <v>INSTALAÇÃO-REDE GERAL</v>
      </c>
      <c r="D38" s="214" t="str">
        <f>CRONOGRAMA!D139</f>
        <v>3.4</v>
      </c>
      <c r="E38" s="185">
        <f>CRONOGRAMA!E139</f>
        <v>134</v>
      </c>
      <c r="F38" s="221" t="str">
        <f>CRONOGRAMA!F139</f>
        <v>VALVULA DE GOVERNO FLANG 4'' - COMPL - NBR-FORNCECIMENTO E INSTALAÇÃO</v>
      </c>
      <c r="G38" s="186">
        <v>4719.75</v>
      </c>
      <c r="H38" s="186">
        <v>1353.4290000000001</v>
      </c>
      <c r="I38" s="186">
        <v>394.56288229760975</v>
      </c>
      <c r="J38" s="186">
        <v>1375.9407872331267</v>
      </c>
      <c r="K38" s="187">
        <f>CRONOGRAMA!K139</f>
        <v>18948.14113217351</v>
      </c>
      <c r="L38" s="186">
        <f t="shared" si="1"/>
        <v>2310090.5902502607</v>
      </c>
      <c r="M38" s="188">
        <f t="shared" si="2"/>
        <v>0.69503466380317347</v>
      </c>
      <c r="N38" s="191">
        <v>34</v>
      </c>
    </row>
    <row r="39" spans="2:14">
      <c r="B39" s="723"/>
      <c r="C39" s="207" t="str">
        <f>CRONOGRAMA!C63</f>
        <v>INSTALAÇÃO-SISTEMA DE CHUVEIROS AUTOMÁTICOS VGA-2</v>
      </c>
      <c r="D39" s="214" t="str">
        <f>CRONOGRAMA!D63</f>
        <v>2.20</v>
      </c>
      <c r="E39" s="185">
        <f>CRONOGRAMA!E63</f>
        <v>58</v>
      </c>
      <c r="F39" s="221" t="str">
        <f>CRONOGRAMA!F63</f>
        <v>TE DE REDUCAO DE   2"X1"</v>
      </c>
      <c r="G39" s="186">
        <v>8528.4317200000005</v>
      </c>
      <c r="H39" s="186">
        <v>16074.370620000002</v>
      </c>
      <c r="I39" s="186">
        <v>4686.1342582043217</v>
      </c>
      <c r="J39" s="186">
        <v>2486.2793696023668</v>
      </c>
      <c r="K39" s="187">
        <f>CRONOGRAMA!K63</f>
        <v>31055.409333518171</v>
      </c>
      <c r="L39" s="186">
        <f t="shared" si="1"/>
        <v>2341145.9995837789</v>
      </c>
      <c r="M39" s="188">
        <f t="shared" si="2"/>
        <v>0.70437827399598996</v>
      </c>
      <c r="N39" s="191">
        <v>35</v>
      </c>
    </row>
    <row r="40" spans="2:14">
      <c r="B40" s="723"/>
      <c r="C40" s="207" t="str">
        <f>CRONOGRAMA!C32</f>
        <v>INSTALAÇÃO-SISTEMA DE CHUVEIROS AUTOMÁTICOS VGA-1</v>
      </c>
      <c r="D40" s="214" t="str">
        <f>CRONOGRAMA!D32</f>
        <v>2.18</v>
      </c>
      <c r="E40" s="185">
        <f>CRONOGRAMA!E32</f>
        <v>27</v>
      </c>
      <c r="F40" s="221" t="str">
        <f>CRONOGRAMA!F32</f>
        <v>TE DE REDUCAO DE   1"X3/4"</v>
      </c>
      <c r="G40" s="186">
        <v>14845.649999999998</v>
      </c>
      <c r="H40" s="186">
        <v>1596.6116400000001</v>
      </c>
      <c r="I40" s="186">
        <v>465.45750873397395</v>
      </c>
      <c r="J40" s="186">
        <v>4327.9274003893142</v>
      </c>
      <c r="K40" s="187">
        <f>CRONOGRAMA!K32</f>
        <v>27724.604642914808</v>
      </c>
      <c r="L40" s="186">
        <f t="shared" si="1"/>
        <v>2368870.6042266935</v>
      </c>
      <c r="M40" s="188">
        <f t="shared" si="2"/>
        <v>0.7127197482863884</v>
      </c>
      <c r="N40" s="189">
        <v>36</v>
      </c>
    </row>
    <row r="41" spans="2:14">
      <c r="B41" s="723"/>
      <c r="C41" s="207" t="str">
        <f>CRONOGRAMA!C61</f>
        <v>INSTALAÇÃO-SISTEMA DE CHUVEIROS AUTOMÁTICOS VGA-2</v>
      </c>
      <c r="D41" s="214" t="str">
        <f>CRONOGRAMA!D61</f>
        <v>2.18</v>
      </c>
      <c r="E41" s="185">
        <f>CRONOGRAMA!E61</f>
        <v>56</v>
      </c>
      <c r="F41" s="221" t="str">
        <f>CRONOGRAMA!F61</f>
        <v>TE DE REDUCAO DE   1"X3/4"</v>
      </c>
      <c r="G41" s="186">
        <v>39181.411260000001</v>
      </c>
      <c r="H41" s="186">
        <v>35122.673250000007</v>
      </c>
      <c r="I41" s="186">
        <v>10239.253918393324</v>
      </c>
      <c r="J41" s="186">
        <v>11422.490990834112</v>
      </c>
      <c r="K41" s="187">
        <f>CRONOGRAMA!K61</f>
        <v>26860.909794225874</v>
      </c>
      <c r="L41" s="186">
        <f t="shared" si="1"/>
        <v>2395731.5140209193</v>
      </c>
      <c r="M41" s="188">
        <f t="shared" si="2"/>
        <v>0.72080136356462499</v>
      </c>
      <c r="N41" s="190">
        <v>37</v>
      </c>
    </row>
    <row r="42" spans="2:14">
      <c r="B42" s="723"/>
      <c r="C42" s="207" t="str">
        <f>CRONOGRAMA!C155</f>
        <v>INSTALAÇÃO-CASA DE BOMBAS</v>
      </c>
      <c r="D42" s="214" t="str">
        <f>CRONOGRAMA!D155</f>
        <v>4.13</v>
      </c>
      <c r="E42" s="185">
        <f>CRONOGRAMA!E155</f>
        <v>150</v>
      </c>
      <c r="F42" s="221" t="str">
        <f>CRONOGRAMA!F155</f>
        <v>MEDIDO DE VAZÃO (FLOW METER) 8"</v>
      </c>
      <c r="G42" s="186">
        <v>291.07</v>
      </c>
      <c r="H42" s="186">
        <v>36.06</v>
      </c>
      <c r="I42" s="186">
        <v>10.512511210896033</v>
      </c>
      <c r="J42" s="186">
        <v>84.855148035371826</v>
      </c>
      <c r="K42" s="187">
        <f>CRONOGRAMA!K155</f>
        <v>16141.830907278681</v>
      </c>
      <c r="L42" s="186">
        <f t="shared" si="1"/>
        <v>2411873.344928198</v>
      </c>
      <c r="M42" s="188">
        <f t="shared" si="2"/>
        <v>0.7256579402136788</v>
      </c>
      <c r="N42" s="191">
        <v>38</v>
      </c>
    </row>
    <row r="43" spans="2:14" ht="86.4">
      <c r="B43" s="723"/>
      <c r="C43" s="207" t="str">
        <f>CRONOGRAMA!C75</f>
        <v>INSTALAÇÃO-SISTEMA DE CHUVEIROS AUTOMÁTICOS VGA-3</v>
      </c>
      <c r="D43" s="214" t="str">
        <f>CRONOGRAMA!D75</f>
        <v>2.3</v>
      </c>
      <c r="E43" s="185">
        <f>CRONOGRAMA!E75</f>
        <v>70</v>
      </c>
      <c r="F43" s="221" t="str">
        <f>CRONOGRAMA!F75</f>
        <v>TUBO DE AÇO GALVANIZADO COM COSTURA, CLASSE MÉDIA, CONEXÃO ROSQUEADA, DN 25 (1"), INSTALADO EM REDE DE ALIMENTAÇÃO PARA SPRINKLER - FORNECIMENTO E INSTALAÇÃO. AF_10/2020</v>
      </c>
      <c r="G43" s="186">
        <v>11431.284299999999</v>
      </c>
      <c r="H43" s="186">
        <v>4270.4455500000004</v>
      </c>
      <c r="I43" s="186">
        <v>1244.9558158595696</v>
      </c>
      <c r="J43" s="186">
        <v>3332.5431047889574</v>
      </c>
      <c r="K43" s="187">
        <f>CRONOGRAMA!K75</f>
        <v>31194.588922200601</v>
      </c>
      <c r="L43" s="186">
        <f t="shared" si="1"/>
        <v>2443067.9338503988</v>
      </c>
      <c r="M43" s="188">
        <f t="shared" si="2"/>
        <v>0.73504342523124733</v>
      </c>
      <c r="N43" s="191">
        <v>39</v>
      </c>
    </row>
    <row r="44" spans="2:14">
      <c r="B44" s="723"/>
      <c r="C44" s="207" t="str">
        <f>CRONOGRAMA!C92</f>
        <v>INSTALAÇÃO-SISTEMA DE CHUVEIROS AUTOMÁTICOS VGA-3</v>
      </c>
      <c r="D44" s="214" t="str">
        <f>CRONOGRAMA!D92</f>
        <v>2.20</v>
      </c>
      <c r="E44" s="185">
        <f>CRONOGRAMA!E92</f>
        <v>87</v>
      </c>
      <c r="F44" s="221" t="str">
        <f>CRONOGRAMA!F92</f>
        <v>TE DE REDUCAO DE   2"X1"</v>
      </c>
      <c r="G44" s="186">
        <v>9165.5885999999991</v>
      </c>
      <c r="H44" s="186">
        <v>16554.460859999999</v>
      </c>
      <c r="I44" s="186">
        <v>4826.0941592093614</v>
      </c>
      <c r="J44" s="186">
        <v>2672.028644258482</v>
      </c>
      <c r="K44" s="187">
        <f>CRONOGRAMA!K92</f>
        <v>26162.434872610163</v>
      </c>
      <c r="L44" s="186">
        <f t="shared" si="1"/>
        <v>2469230.3687230088</v>
      </c>
      <c r="M44" s="188">
        <f t="shared" si="2"/>
        <v>0.74291489105284825</v>
      </c>
      <c r="N44" s="189">
        <v>40</v>
      </c>
    </row>
    <row r="45" spans="2:14">
      <c r="B45" s="723"/>
      <c r="C45" s="207" t="str">
        <f>CRONOGRAMA!C90</f>
        <v>INSTALAÇÃO-SISTEMA DE CHUVEIROS AUTOMÁTICOS VGA-3</v>
      </c>
      <c r="D45" s="214" t="str">
        <f>CRONOGRAMA!D90</f>
        <v>2.18</v>
      </c>
      <c r="E45" s="185">
        <f>CRONOGRAMA!E90</f>
        <v>85</v>
      </c>
      <c r="F45" s="221" t="str">
        <f>CRONOGRAMA!F90</f>
        <v>TE DE REDUCAO DE   1"X3/4"</v>
      </c>
      <c r="G45" s="186">
        <v>2888.5</v>
      </c>
      <c r="H45" s="186">
        <v>238.14000000000001</v>
      </c>
      <c r="I45" s="186">
        <v>69.424554069960664</v>
      </c>
      <c r="J45" s="186">
        <v>842.07955165483054</v>
      </c>
      <c r="K45" s="187">
        <f>CRONOGRAMA!K90</f>
        <v>22628.805035650093</v>
      </c>
      <c r="L45" s="186">
        <f t="shared" si="1"/>
        <v>2491859.173758659</v>
      </c>
      <c r="M45" s="188">
        <f t="shared" si="2"/>
        <v>0.74972319717149138</v>
      </c>
      <c r="N45" s="190">
        <v>41</v>
      </c>
    </row>
    <row r="46" spans="2:14" ht="86.4">
      <c r="B46" s="723"/>
      <c r="C46" s="207" t="str">
        <f>CRONOGRAMA!C21</f>
        <v>INSTALAÇÃO-SISTEMA DE CHUVEIROS AUTOMÁTICOS VGA-1</v>
      </c>
      <c r="D46" s="214" t="str">
        <f>CRONOGRAMA!D21</f>
        <v>2.7</v>
      </c>
      <c r="E46" s="185">
        <f>CRONOGRAMA!E21</f>
        <v>16</v>
      </c>
      <c r="F46" s="221" t="str">
        <f>CRONOGRAMA!F21</f>
        <v>TUBO DE AÇO GALVANIZADO COM COSTURA, CLASSE MÉDIA, CONEXÃO ROSQUEADA, DN 65 (2 1/2"), INSTALADO EM REDE DE ALIMENTAÇÃO PARA SPRINKLER - FORNECIMENTO E INSTALAÇÃO. AF_10/2020</v>
      </c>
      <c r="G46" s="186">
        <v>39181.411260000001</v>
      </c>
      <c r="H46" s="186">
        <v>35122.673250000007</v>
      </c>
      <c r="I46" s="186">
        <v>10239.253918393324</v>
      </c>
      <c r="J46" s="186">
        <v>11422.490990834112</v>
      </c>
      <c r="K46" s="187">
        <f>CRONOGRAMA!K21</f>
        <v>29839.585792112459</v>
      </c>
      <c r="L46" s="186">
        <f t="shared" si="1"/>
        <v>2521698.7595507717</v>
      </c>
      <c r="M46" s="188">
        <f t="shared" si="2"/>
        <v>0.75870100374175242</v>
      </c>
      <c r="N46" s="191">
        <v>42</v>
      </c>
    </row>
    <row r="47" spans="2:14" ht="86.4">
      <c r="B47" s="723"/>
      <c r="C47" s="207" t="str">
        <f>CRONOGRAMA!C50</f>
        <v>INSTALAÇÃO-SISTEMA DE CHUVEIROS AUTOMÁTICOS VGA-2</v>
      </c>
      <c r="D47" s="214" t="str">
        <f>CRONOGRAMA!D50</f>
        <v>2.7</v>
      </c>
      <c r="E47" s="185">
        <f>CRONOGRAMA!E50</f>
        <v>45</v>
      </c>
      <c r="F47" s="221" t="str">
        <f>CRONOGRAMA!F50</f>
        <v>TUBO DE AÇO GALVANIZADO COM COSTURA, CLASSE MÉDIA, CONEXÃO ROSQUEADA, DN 65 (2 1/2"), INSTALADO EM REDE DE ALIMENTAÇÃO PARA SPRINKLER - FORNECIMENTO E INSTALAÇÃO. AF_10/2020</v>
      </c>
      <c r="G47" s="186">
        <v>94768.92</v>
      </c>
      <c r="H47" s="186">
        <v>7051.3254000000015</v>
      </c>
      <c r="I47" s="186">
        <v>2055.6610460115353</v>
      </c>
      <c r="J47" s="186">
        <v>27627.824013990827</v>
      </c>
      <c r="K47" s="187">
        <f>CRONOGRAMA!K50</f>
        <v>28910.003680208643</v>
      </c>
      <c r="L47" s="186">
        <f t="shared" si="1"/>
        <v>2550608.7632309804</v>
      </c>
      <c r="M47" s="188">
        <f t="shared" si="2"/>
        <v>0.76739912786434172</v>
      </c>
      <c r="N47" s="191">
        <v>43</v>
      </c>
    </row>
    <row r="48" spans="2:14">
      <c r="B48" s="723"/>
      <c r="C48" s="207" t="str">
        <f>CRONOGRAMA!C202</f>
        <v>ASBUILT</v>
      </c>
      <c r="D48" s="214" t="str">
        <f>CRONOGRAMA!D202</f>
        <v>P2</v>
      </c>
      <c r="E48" s="185">
        <f>CRONOGRAMA!E202</f>
        <v>196</v>
      </c>
      <c r="F48" s="221" t="str">
        <f>CRONOGRAMA!F202</f>
        <v>PROJETO AS BUILT</v>
      </c>
      <c r="G48" s="186"/>
      <c r="H48" s="186"/>
      <c r="I48" s="186"/>
      <c r="J48" s="186"/>
      <c r="K48" s="187">
        <f>CRONOGRAMA!K202</f>
        <v>12153.927253192931</v>
      </c>
      <c r="L48" s="186">
        <f t="shared" si="1"/>
        <v>2562762.6904841731</v>
      </c>
      <c r="M48" s="188">
        <f t="shared" si="2"/>
        <v>0.771055867897812</v>
      </c>
      <c r="N48" s="189">
        <v>44</v>
      </c>
    </row>
    <row r="49" spans="2:14" ht="28.8">
      <c r="B49" s="723"/>
      <c r="C49" s="207" t="str">
        <f>CRONOGRAMA!C132</f>
        <v>INSTALAÇÃO-SISTEMA DE CHUVEIROS AUTOMÁTICOS VGA-4</v>
      </c>
      <c r="D49" s="214" t="str">
        <f>CRONOGRAMA!D132</f>
        <v>2.2</v>
      </c>
      <c r="E49" s="185">
        <f>CRONOGRAMA!E132</f>
        <v>127</v>
      </c>
      <c r="F49" s="221" t="str">
        <f>CRONOGRAMA!F132</f>
        <v xml:space="preserve">SPK PENDENTE K8 ( K115) RESPOSTA RÁPIDA - INTERMEDIÁRIO </v>
      </c>
      <c r="G49" s="186">
        <v>1476.0664000000002</v>
      </c>
      <c r="H49" s="186">
        <v>949.38480000000004</v>
      </c>
      <c r="I49" s="186">
        <v>276.7725555589098</v>
      </c>
      <c r="J49" s="186">
        <v>430.31515746053657</v>
      </c>
      <c r="K49" s="187">
        <f>CRONOGRAMA!K132</f>
        <v>18477.514125995975</v>
      </c>
      <c r="L49" s="186">
        <f t="shared" si="1"/>
        <v>2581240.2046101689</v>
      </c>
      <c r="M49" s="188">
        <f t="shared" si="2"/>
        <v>0.7766151792394026</v>
      </c>
      <c r="N49" s="190">
        <v>45</v>
      </c>
    </row>
    <row r="50" spans="2:14">
      <c r="B50" s="723"/>
      <c r="C50" s="207" t="str">
        <f>CRONOGRAMA!C37</f>
        <v>INSTALAÇÃO-SISTEMA DE CHUVEIROS AUTOMÁTICOS VGA-1</v>
      </c>
      <c r="D50" s="214" t="str">
        <f>CRONOGRAMA!D37</f>
        <v>2.23</v>
      </c>
      <c r="E50" s="185">
        <f>CRONOGRAMA!E37</f>
        <v>32</v>
      </c>
      <c r="F50" s="221" t="str">
        <f>CRONOGRAMA!F37</f>
        <v>TE DE REDUCAO  DE 4" X 2"</v>
      </c>
      <c r="G50" s="186">
        <v>14797.650000000001</v>
      </c>
      <c r="H50" s="186">
        <v>317.52</v>
      </c>
      <c r="I50" s="186">
        <v>92.566072093280866</v>
      </c>
      <c r="J50" s="186">
        <v>4313.9340410403684</v>
      </c>
      <c r="K50" s="187">
        <f>CRONOGRAMA!K37</f>
        <v>23314.824312878842</v>
      </c>
      <c r="L50" s="186">
        <f t="shared" si="1"/>
        <v>2604555.0289230477</v>
      </c>
      <c r="M50" s="188">
        <f t="shared" si="2"/>
        <v>0.78362988729731309</v>
      </c>
      <c r="N50" s="191">
        <v>46</v>
      </c>
    </row>
    <row r="51" spans="2:14" ht="86.4">
      <c r="B51" s="723"/>
      <c r="C51" s="207" t="str">
        <f>CRONOGRAMA!C27</f>
        <v>INSTALAÇÃO-SISTEMA DE CHUVEIROS AUTOMÁTICOS VGA-1</v>
      </c>
      <c r="D51" s="214" t="str">
        <f>CRONOGRAMA!D27</f>
        <v>2.13</v>
      </c>
      <c r="E51" s="185">
        <f>CRONOGRAMA!E27</f>
        <v>22</v>
      </c>
      <c r="F51" s="221" t="str">
        <f>CRONOGRAMA!F27</f>
        <v xml:space="preserve">COTOVELO DE 90 GRAUS, DE REDUÇÃO EM FERRO GALVANIZADO, CONEXÃO ROSQUEADA, 1"X3/4", INSTALADO EM REDE DE ALIMENTAÇÃO PARA SPRINKLER - FORNECIMENTO E INSTALAÇÃO. </v>
      </c>
      <c r="G51" s="186">
        <v>141029.65205</v>
      </c>
      <c r="H51" s="186">
        <v>38728.608974999996</v>
      </c>
      <c r="I51" s="186">
        <v>11290.48630150017</v>
      </c>
      <c r="J51" s="186">
        <v>41114.137499844473</v>
      </c>
      <c r="K51" s="187">
        <f>CRONOGRAMA!K27</f>
        <v>20428.981647250341</v>
      </c>
      <c r="L51" s="186">
        <f t="shared" si="1"/>
        <v>2624984.0105702979</v>
      </c>
      <c r="M51" s="188">
        <f t="shared" si="2"/>
        <v>0.78977633473576592</v>
      </c>
      <c r="N51" s="191">
        <v>47</v>
      </c>
    </row>
    <row r="52" spans="2:14">
      <c r="B52" s="723"/>
      <c r="C52" s="207" t="str">
        <f>CRONOGRAMA!C66</f>
        <v>INSTALAÇÃO-SISTEMA DE CHUVEIROS AUTOMÁTICOS VGA-2</v>
      </c>
      <c r="D52" s="214" t="str">
        <f>CRONOGRAMA!D66</f>
        <v>2.23</v>
      </c>
      <c r="E52" s="185">
        <f>CRONOGRAMA!E66</f>
        <v>61</v>
      </c>
      <c r="F52" s="221" t="str">
        <f>CRONOGRAMA!F66</f>
        <v>TE DE REDUCAO  DE 4" X 2"</v>
      </c>
      <c r="G52" s="186">
        <v>58913.55</v>
      </c>
      <c r="H52" s="186">
        <v>3709.0305000000003</v>
      </c>
      <c r="I52" s="186">
        <v>1081.2874296396374</v>
      </c>
      <c r="J52" s="186">
        <v>17174.968243169275</v>
      </c>
      <c r="K52" s="187">
        <f>CRONOGRAMA!K66</f>
        <v>22588.50579845894</v>
      </c>
      <c r="L52" s="186">
        <f t="shared" si="1"/>
        <v>2647572.516368757</v>
      </c>
      <c r="M52" s="188">
        <f t="shared" si="2"/>
        <v>0.79657251606290047</v>
      </c>
      <c r="N52" s="189">
        <v>48</v>
      </c>
    </row>
    <row r="53" spans="2:14" ht="86.4">
      <c r="B53" s="723"/>
      <c r="C53" s="207" t="str">
        <f>CRONOGRAMA!C56</f>
        <v>INSTALAÇÃO-SISTEMA DE CHUVEIROS AUTOMÁTICOS VGA-2</v>
      </c>
      <c r="D53" s="214" t="str">
        <f>CRONOGRAMA!D56</f>
        <v>2.13</v>
      </c>
      <c r="E53" s="185">
        <f>CRONOGRAMA!E56</f>
        <v>51</v>
      </c>
      <c r="F53" s="221" t="str">
        <f>CRONOGRAMA!F56</f>
        <v xml:space="preserve">COTOVELO DE 90 GRAUS, DE REDUÇÃO EM FERRO GALVANIZADO, CONEXÃO ROSQUEADA, 1"X3/4", INSTALADO EM REDE DE ALIMENTAÇÃO PARA SPRINKLER - FORNECIMENTO E INSTALAÇÃO. </v>
      </c>
      <c r="G53" s="186">
        <v>27975.521769999999</v>
      </c>
      <c r="H53" s="186">
        <v>6822.5621624999994</v>
      </c>
      <c r="I53" s="186">
        <v>1988.970083758079</v>
      </c>
      <c r="J53" s="186">
        <v>8155.656856289268</v>
      </c>
      <c r="K53" s="187">
        <f>CRONOGRAMA!K56</f>
        <v>19792.564773504222</v>
      </c>
      <c r="L53" s="186">
        <f t="shared" si="1"/>
        <v>2667365.0811422612</v>
      </c>
      <c r="M53" s="188">
        <f t="shared" si="2"/>
        <v>0.80252748538800589</v>
      </c>
      <c r="N53" s="190">
        <v>49</v>
      </c>
    </row>
    <row r="54" spans="2:14" ht="86.4">
      <c r="B54" s="723"/>
      <c r="C54" s="207" t="str">
        <f>CRONOGRAMA!C79</f>
        <v>INSTALAÇÃO-SISTEMA DE CHUVEIROS AUTOMÁTICOS VGA-3</v>
      </c>
      <c r="D54" s="214" t="str">
        <f>CRONOGRAMA!D79</f>
        <v>2.7</v>
      </c>
      <c r="E54" s="185">
        <f>CRONOGRAMA!E79</f>
        <v>74</v>
      </c>
      <c r="F54" s="221" t="str">
        <f>CRONOGRAMA!F79</f>
        <v>TUBO DE AÇO GALVANIZADO COM COSTURA, CLASSE MÉDIA, CONEXÃO ROSQUEADA, DN 65 (2 1/2"), INSTALADO EM REDE DE ALIMENTAÇÃO PARA SPRINKLER - FORNECIMENTO E INSTALAÇÃO. AF_10/2020</v>
      </c>
      <c r="G54" s="186">
        <v>8916.3157600000013</v>
      </c>
      <c r="H54" s="186">
        <v>5215.5041400000009</v>
      </c>
      <c r="I54" s="186">
        <v>1520.4671586862087</v>
      </c>
      <c r="J54" s="186">
        <v>2599.3585520490569</v>
      </c>
      <c r="K54" s="187">
        <f>CRONOGRAMA!K79</f>
        <v>24355.051331879953</v>
      </c>
      <c r="L54" s="186">
        <f t="shared" si="1"/>
        <v>2691720.1324741412</v>
      </c>
      <c r="M54" s="188">
        <f t="shared" si="2"/>
        <v>0.80985516551700398</v>
      </c>
      <c r="N54" s="191">
        <v>50</v>
      </c>
    </row>
    <row r="55" spans="2:14">
      <c r="B55" s="723"/>
      <c r="C55" s="207" t="str">
        <f>CRONOGRAMA!C154</f>
        <v>INSTALAÇÃO-CASA DE BOMBAS</v>
      </c>
      <c r="D55" s="214" t="str">
        <f>CRONOGRAMA!D154</f>
        <v>4.12</v>
      </c>
      <c r="E55" s="185">
        <f>CRONOGRAMA!E154</f>
        <v>149</v>
      </c>
      <c r="F55" s="221" t="str">
        <f>CRONOGRAMA!F154</f>
        <v xml:space="preserve">VALVULA DE ALÍVIO 6" </v>
      </c>
      <c r="G55" s="186">
        <v>291.07</v>
      </c>
      <c r="H55" s="186">
        <v>36.06</v>
      </c>
      <c r="I55" s="186">
        <v>10.512511210896033</v>
      </c>
      <c r="J55" s="186">
        <v>84.855148035371826</v>
      </c>
      <c r="K55" s="187">
        <f>CRONOGRAMA!K154</f>
        <v>18489.726070354445</v>
      </c>
      <c r="L55" s="186">
        <f t="shared" si="1"/>
        <v>2710209.8585444954</v>
      </c>
      <c r="M55" s="188">
        <f t="shared" si="2"/>
        <v>0.81541815105417681</v>
      </c>
      <c r="N55" s="191">
        <v>51</v>
      </c>
    </row>
    <row r="56" spans="2:14">
      <c r="B56" s="723"/>
      <c r="C56" s="207" t="str">
        <f>CRONOGRAMA!C95</f>
        <v>INSTALAÇÃO-SISTEMA DE CHUVEIROS AUTOMÁTICOS VGA-3</v>
      </c>
      <c r="D56" s="214" t="str">
        <f>CRONOGRAMA!D95</f>
        <v>2.23</v>
      </c>
      <c r="E56" s="185">
        <f>CRONOGRAMA!E95</f>
        <v>90</v>
      </c>
      <c r="F56" s="221" t="str">
        <f>CRONOGRAMA!F95</f>
        <v>TE DE REDUCAO  DE 4" X 2"</v>
      </c>
      <c r="G56" s="186">
        <v>1488.25</v>
      </c>
      <c r="H56" s="186">
        <v>793.8</v>
      </c>
      <c r="I56" s="186">
        <v>231.41518023320216</v>
      </c>
      <c r="J56" s="186">
        <v>433.86702189728288</v>
      </c>
      <c r="K56" s="187">
        <f>CRONOGRAMA!K95</f>
        <v>19029.545077801424</v>
      </c>
      <c r="L56" s="186">
        <f t="shared" si="1"/>
        <v>2729239.4036222966</v>
      </c>
      <c r="M56" s="188">
        <f t="shared" si="2"/>
        <v>0.82114355140050876</v>
      </c>
      <c r="N56" s="189">
        <v>52</v>
      </c>
    </row>
    <row r="57" spans="2:14" ht="86.4">
      <c r="B57" s="723"/>
      <c r="C57" s="207" t="str">
        <f>CRONOGRAMA!C85</f>
        <v>INSTALAÇÃO-SISTEMA DE CHUVEIROS AUTOMÁTICOS VGA-3</v>
      </c>
      <c r="D57" s="214" t="str">
        <f>CRONOGRAMA!D85</f>
        <v>2.13</v>
      </c>
      <c r="E57" s="185">
        <f>CRONOGRAMA!E85</f>
        <v>80</v>
      </c>
      <c r="F57" s="221" t="str">
        <f>CRONOGRAMA!F85</f>
        <v xml:space="preserve">COTOVELO DE 90 GRAUS, DE REDUÇÃO EM FERRO GALVANIZADO, CONEXÃO ROSQUEADA, 1"X3/4", INSTALADO EM REDE DE ALIMENTAÇÃO PARA SPRINKLER - FORNECIMENTO E INSTALAÇÃO. </v>
      </c>
      <c r="G57" s="186">
        <v>8916.3157600000013</v>
      </c>
      <c r="H57" s="186">
        <v>5215.5041400000009</v>
      </c>
      <c r="I57" s="186">
        <v>1520.4671586862087</v>
      </c>
      <c r="J57" s="186">
        <v>2599.3585520490569</v>
      </c>
      <c r="K57" s="187">
        <f>CRONOGRAMA!K85</f>
        <v>16674.122092148253</v>
      </c>
      <c r="L57" s="186">
        <f t="shared" si="1"/>
        <v>2745913.5257144449</v>
      </c>
      <c r="M57" s="188">
        <f t="shared" si="2"/>
        <v>0.82616027797021174</v>
      </c>
      <c r="N57" s="190">
        <v>53</v>
      </c>
    </row>
    <row r="58" spans="2:14" ht="28.8">
      <c r="B58" s="723"/>
      <c r="C58" s="207" t="str">
        <f>CRONOGRAMA!C135</f>
        <v>INSTALAÇÃO-RESERVATÓRIO DO SISTEMA DE CHUVEIROS AUTOMÁTICOS</v>
      </c>
      <c r="D58" s="214" t="str">
        <f>CRONOGRAMA!D135</f>
        <v>2.31</v>
      </c>
      <c r="E58" s="185">
        <f>CRONOGRAMA!E135</f>
        <v>130</v>
      </c>
      <c r="F58" s="221" t="str">
        <f>CRONOGRAMA!F135</f>
        <v>ÁGUA POTÁVEL (CAMINHÃO PIPA PARA ENCHIMENTO)</v>
      </c>
      <c r="G58" s="186">
        <v>2294.42562</v>
      </c>
      <c r="H58" s="186">
        <v>339.34949999999998</v>
      </c>
      <c r="I58" s="186">
        <v>98.929989549693929</v>
      </c>
      <c r="J58" s="186">
        <v>668.89004583519363</v>
      </c>
      <c r="K58" s="187">
        <f>CRONOGRAMA!K135</f>
        <v>16195.765129912264</v>
      </c>
      <c r="L58" s="186">
        <f t="shared" si="1"/>
        <v>2762109.2908443571</v>
      </c>
      <c r="M58" s="188">
        <f t="shared" si="2"/>
        <v>0.83103308175531532</v>
      </c>
      <c r="N58" s="191">
        <v>54</v>
      </c>
    </row>
    <row r="59" spans="2:14" ht="72">
      <c r="B59" s="723"/>
      <c r="C59" s="207" t="str">
        <f>CRONOGRAMA!C39</f>
        <v>INSTALAÇÃO-SISTEMA DE CHUVEIROS AUTOMÁTICOS VGA-1</v>
      </c>
      <c r="D59" s="214" t="str">
        <f>CRONOGRAMA!D39</f>
        <v>2.25</v>
      </c>
      <c r="E59" s="185">
        <f>CRONOGRAMA!E39</f>
        <v>34</v>
      </c>
      <c r="F59" s="221" t="str">
        <f>CRONOGRAMA!F39</f>
        <v>TÊ, EM FERRO GALVANIZADO, CONEXÃO ROSQUEADA, DN 25 (1"), INSTALADO EM REDE DE ALIMENTAÇÃO PARA SPRINKLER - FORNECIMENTO E INSTALAÇÃO. AF_10/2020</v>
      </c>
      <c r="G59" s="186">
        <v>31818.750560999997</v>
      </c>
      <c r="H59" s="186">
        <v>15333.596460000001</v>
      </c>
      <c r="I59" s="186">
        <v>4470.177612010697</v>
      </c>
      <c r="J59" s="186">
        <v>9276.0668882201026</v>
      </c>
      <c r="K59" s="187">
        <f>CRONOGRAMA!K39</f>
        <v>15959.953182132935</v>
      </c>
      <c r="L59" s="186">
        <f t="shared" si="1"/>
        <v>2778069.24402649</v>
      </c>
      <c r="M59" s="188">
        <f t="shared" si="2"/>
        <v>0.83583493703366463</v>
      </c>
      <c r="N59" s="191">
        <v>55</v>
      </c>
    </row>
    <row r="60" spans="2:14" ht="86.4">
      <c r="B60" s="723"/>
      <c r="C60" s="207" t="str">
        <f>CRONOGRAMA!C7</f>
        <v>INSTALAÇÃO-SISTEMA DE HIDRANTES</v>
      </c>
      <c r="D60" s="214" t="str">
        <f>CRONOGRAMA!D7</f>
        <v>1.4</v>
      </c>
      <c r="E60" s="185">
        <f>CRONOGRAMA!E7</f>
        <v>2</v>
      </c>
      <c r="F60" s="221" t="str">
        <f>CRONOGRAMA!F7</f>
        <v>TUBO DE AÇO GALVANIZADO COM COSTURA, CLASSE MÉDIA, DN 65 (2 1/2"), CONEXÃO ROSQUEADA, INSTALADO EM REDE DE ALIMENTAÇÃO PARA HIDRANTE - FORNECIMENTO E INSTALAÇÃO. AF_10/2020</v>
      </c>
      <c r="G60" s="186">
        <v>142449</v>
      </c>
      <c r="H60" s="186" t="s">
        <v>428</v>
      </c>
      <c r="I60" s="186">
        <v>0</v>
      </c>
      <c r="J60" s="186">
        <v>41527.917622876565</v>
      </c>
      <c r="K60" s="187">
        <f>CRONOGRAMA!K7</f>
        <v>21074.886065147599</v>
      </c>
      <c r="L60" s="186">
        <f t="shared" si="1"/>
        <v>2799144.1300916378</v>
      </c>
      <c r="M60" s="188">
        <f t="shared" si="2"/>
        <v>0.84217571709346017</v>
      </c>
      <c r="N60" s="189">
        <v>56</v>
      </c>
    </row>
    <row r="61" spans="2:14" ht="72">
      <c r="B61" s="723"/>
      <c r="C61" s="207" t="str">
        <f>CRONOGRAMA!C68</f>
        <v>INSTALAÇÃO-SISTEMA DE CHUVEIROS AUTOMÁTICOS VGA-2</v>
      </c>
      <c r="D61" s="214" t="str">
        <f>CRONOGRAMA!D68</f>
        <v>2.25</v>
      </c>
      <c r="E61" s="185">
        <f>CRONOGRAMA!E68</f>
        <v>63</v>
      </c>
      <c r="F61" s="221" t="str">
        <f>CRONOGRAMA!F68</f>
        <v>TÊ, EM FERRO GALVANIZADO, CONEXÃO ROSQUEADA, DN 25 (1"), INSTALADO EM REDE DE ALIMENTAÇÃO PARA SPRINKLER - FORNECIMENTO E INSTALAÇÃO. AF_10/2020</v>
      </c>
      <c r="G61" s="186">
        <v>50893.716235</v>
      </c>
      <c r="H61" s="186">
        <v>8735.5705500000022</v>
      </c>
      <c r="I61" s="186">
        <v>2546.6662046713323</v>
      </c>
      <c r="J61" s="186">
        <v>14836.959580826371</v>
      </c>
      <c r="K61" s="187">
        <f>CRONOGRAMA!K68</f>
        <v>15462.758378951223</v>
      </c>
      <c r="L61" s="186">
        <f t="shared" si="1"/>
        <v>2814606.8884705892</v>
      </c>
      <c r="M61" s="188">
        <f t="shared" si="2"/>
        <v>0.84682798186469577</v>
      </c>
      <c r="N61" s="190">
        <v>57</v>
      </c>
    </row>
    <row r="62" spans="2:14" ht="86.4">
      <c r="B62" s="723"/>
      <c r="C62" s="207" t="str">
        <f>CRONOGRAMA!C24</f>
        <v>INSTALAÇÃO-SISTEMA DE CHUVEIROS AUTOMÁTICOS VGA-1</v>
      </c>
      <c r="D62" s="214" t="str">
        <f>CRONOGRAMA!D24</f>
        <v>2.10</v>
      </c>
      <c r="E62" s="185">
        <f>CRONOGRAMA!E24</f>
        <v>19</v>
      </c>
      <c r="F62" s="221" t="str">
        <f>CRONOGRAMA!F24</f>
        <v>JOELHO 90 GRAUS, EM FERRO GALVANIZADO, CONEXÃO ROSQUEADA, DN 25 (1"), INSTALADO EM REDE DE ALIMENTAÇÃO PARA SPRINKLER - FORNECIMENTO E INSTALAÇÃO. AF_12/2015</v>
      </c>
      <c r="G62" s="186">
        <v>58913.55</v>
      </c>
      <c r="H62" s="186">
        <v>3709.0305000000003</v>
      </c>
      <c r="I62" s="186">
        <v>1081.2874296396374</v>
      </c>
      <c r="J62" s="186">
        <v>17174.968243169275</v>
      </c>
      <c r="K62" s="187">
        <f>CRONOGRAMA!K24</f>
        <v>15234.743589891676</v>
      </c>
      <c r="L62" s="186">
        <f t="shared" si="1"/>
        <v>2829841.6320604808</v>
      </c>
      <c r="M62" s="188">
        <f t="shared" si="2"/>
        <v>0.85141164405258452</v>
      </c>
      <c r="N62" s="191">
        <v>58</v>
      </c>
    </row>
    <row r="63" spans="2:14">
      <c r="B63" s="723"/>
      <c r="C63" s="207" t="str">
        <f>CRONOGRAMA!C120</f>
        <v>INSTALAÇÃO-SISTEMA DE CHUVEIROS AUTOMÁTICOS VGA-4</v>
      </c>
      <c r="D63" s="214" t="str">
        <f>CRONOGRAMA!D120</f>
        <v>2.19</v>
      </c>
      <c r="E63" s="185">
        <f>CRONOGRAMA!E120</f>
        <v>115</v>
      </c>
      <c r="F63" s="221" t="str">
        <f>CRONOGRAMA!F120</f>
        <v>TE DE REDUCAO DE   1.1/2"X3/4"</v>
      </c>
      <c r="G63" s="186">
        <v>4189.7375000000002</v>
      </c>
      <c r="H63" s="186">
        <v>960.45</v>
      </c>
      <c r="I63" s="186">
        <v>279.9983747228257</v>
      </c>
      <c r="J63" s="186">
        <v>1221.427133651179</v>
      </c>
      <c r="K63" s="187">
        <f>CRONOGRAMA!K120</f>
        <v>15894.32737319244</v>
      </c>
      <c r="L63" s="186">
        <f t="shared" si="1"/>
        <v>2845735.9594336734</v>
      </c>
      <c r="M63" s="188">
        <f t="shared" si="2"/>
        <v>0.85619375455891222</v>
      </c>
      <c r="N63" s="191">
        <v>59</v>
      </c>
    </row>
    <row r="64" spans="2:14" ht="86.4">
      <c r="B64" s="723"/>
      <c r="C64" s="207" t="str">
        <f>CRONOGRAMA!C53</f>
        <v>INSTALAÇÃO-SISTEMA DE CHUVEIROS AUTOMÁTICOS VGA-2</v>
      </c>
      <c r="D64" s="214" t="str">
        <f>CRONOGRAMA!D53</f>
        <v>2.10</v>
      </c>
      <c r="E64" s="185">
        <f>CRONOGRAMA!E53</f>
        <v>48</v>
      </c>
      <c r="F64" s="221" t="str">
        <f>CRONOGRAMA!F53</f>
        <v>JOELHO 90 GRAUS, EM FERRO GALVANIZADO, CONEXÃO ROSQUEADA, DN 25 (1"), INSTALADO EM REDE DE ALIMENTAÇÃO PARA SPRINKLER - FORNECIMENTO E INSTALAÇÃO. AF_12/2015</v>
      </c>
      <c r="G64" s="186">
        <v>12295.41102</v>
      </c>
      <c r="H64" s="186">
        <v>20459.917170000001</v>
      </c>
      <c r="I64" s="186">
        <v>5964.6452751977049</v>
      </c>
      <c r="J64" s="186">
        <v>3584.4605155386748</v>
      </c>
      <c r="K64" s="187">
        <f>CRONOGRAMA!K53</f>
        <v>14760.140985845206</v>
      </c>
      <c r="L64" s="186">
        <f t="shared" si="1"/>
        <v>2860496.1004195185</v>
      </c>
      <c r="M64" s="188">
        <f t="shared" si="2"/>
        <v>0.86063462353222508</v>
      </c>
      <c r="N64" s="189">
        <v>60</v>
      </c>
    </row>
    <row r="65" spans="2:14" ht="43.2">
      <c r="B65" s="723"/>
      <c r="C65" s="207" t="str">
        <f>CRONOGRAMA!C23</f>
        <v>INSTALAÇÃO-SISTEMA DE CHUVEIROS AUTOMÁTICOS VGA-1</v>
      </c>
      <c r="D65" s="214" t="str">
        <f>CRONOGRAMA!D23</f>
        <v>2.9</v>
      </c>
      <c r="E65" s="185">
        <f>CRONOGRAMA!E23</f>
        <v>18</v>
      </c>
      <c r="F65" s="221" t="str">
        <f>CRONOGRAMA!F23</f>
        <v xml:space="preserve">TUBO AÇO GALVANIZADO  COM COSTURA, NBR 5580, CLASSE L, DN = 150MM </v>
      </c>
      <c r="G65" s="186">
        <v>58913.55</v>
      </c>
      <c r="H65" s="186">
        <v>3709.0305000000003</v>
      </c>
      <c r="I65" s="186">
        <v>1081.2874296396374</v>
      </c>
      <c r="J65" s="186">
        <v>17174.968243169275</v>
      </c>
      <c r="K65" s="187">
        <f>CRONOGRAMA!K23</f>
        <v>19518.850044604984</v>
      </c>
      <c r="L65" s="186">
        <f t="shared" si="1"/>
        <v>2880014.9504641234</v>
      </c>
      <c r="M65" s="188">
        <f t="shared" si="2"/>
        <v>0.86650724057842798</v>
      </c>
      <c r="N65" s="190">
        <v>61</v>
      </c>
    </row>
    <row r="66" spans="2:14" ht="43.2">
      <c r="B66" s="723"/>
      <c r="C66" s="207" t="str">
        <f>CRONOGRAMA!C52</f>
        <v>INSTALAÇÃO-SISTEMA DE CHUVEIROS AUTOMÁTICOS VGA-2</v>
      </c>
      <c r="D66" s="214" t="str">
        <f>CRONOGRAMA!D52</f>
        <v>2.9</v>
      </c>
      <c r="E66" s="185">
        <f>CRONOGRAMA!E52</f>
        <v>47</v>
      </c>
      <c r="F66" s="221" t="str">
        <f>CRONOGRAMA!F52</f>
        <v xml:space="preserve">TUBO AÇO GALVANIZADO  COM COSTURA, NBR 5580, CLASSE L, DN = 150MM </v>
      </c>
      <c r="G66" s="186">
        <v>12295.41102</v>
      </c>
      <c r="H66" s="186">
        <v>20459.917170000001</v>
      </c>
      <c r="I66" s="186">
        <v>5964.6452751977049</v>
      </c>
      <c r="J66" s="186">
        <v>3584.4605155386748</v>
      </c>
      <c r="K66" s="187">
        <f>CRONOGRAMA!K52</f>
        <v>18910.786180287072</v>
      </c>
      <c r="L66" s="186">
        <f t="shared" si="1"/>
        <v>2898925.7366444105</v>
      </c>
      <c r="M66" s="188">
        <f t="shared" si="2"/>
        <v>0.87219691005309807</v>
      </c>
      <c r="N66" s="191">
        <v>62</v>
      </c>
    </row>
    <row r="67" spans="2:14" ht="72">
      <c r="B67" s="723"/>
      <c r="C67" s="207" t="str">
        <f>CRONOGRAMA!C97</f>
        <v>INSTALAÇÃO-SISTEMA DE CHUVEIROS AUTOMÁTICOS VGA-3</v>
      </c>
      <c r="D67" s="214" t="str">
        <f>CRONOGRAMA!D97</f>
        <v>2.25</v>
      </c>
      <c r="E67" s="185">
        <f>CRONOGRAMA!E97</f>
        <v>92</v>
      </c>
      <c r="F67" s="221" t="str">
        <f>CRONOGRAMA!F97</f>
        <v>TÊ, EM FERRO GALVANIZADO, CONEXÃO ROSQUEADA, DN 25 (1"), INSTALADO EM REDE DE ALIMENTAÇÃO PARA SPRINKLER - FORNECIMENTO E INSTALAÇÃO. AF_10/2020</v>
      </c>
      <c r="G67" s="186">
        <v>2117.5</v>
      </c>
      <c r="H67" s="186">
        <v>18.03</v>
      </c>
      <c r="I67" s="186">
        <v>5.2562556054480165</v>
      </c>
      <c r="J67" s="186">
        <v>617.31121711237802</v>
      </c>
      <c r="K67" s="187">
        <f>CRONOGRAMA!K97</f>
        <v>13026.503843360837</v>
      </c>
      <c r="L67" s="186">
        <f t="shared" si="1"/>
        <v>2911952.2404877716</v>
      </c>
      <c r="M67" s="188">
        <f t="shared" si="2"/>
        <v>0.87611618133947666</v>
      </c>
      <c r="N67" s="191">
        <v>63</v>
      </c>
    </row>
    <row r="68" spans="2:14" ht="28.8">
      <c r="B68" s="723"/>
      <c r="C68" s="207" t="str">
        <f>CRONOGRAMA!C10</f>
        <v>INSTALAÇÃO-SISTEMA DE HIDRANTES</v>
      </c>
      <c r="D68" s="214" t="str">
        <f>CRONOGRAMA!D10</f>
        <v>1.7</v>
      </c>
      <c r="E68" s="185">
        <f>CRONOGRAMA!E10</f>
        <v>5</v>
      </c>
      <c r="F68" s="221" t="str">
        <f>CRONOGRAMA!F10</f>
        <v>COTOVELO DE AÇO GALVANIZADO 4" - FORNECIMENTO E INSTALAÇÃO</v>
      </c>
      <c r="G68" s="186">
        <v>141029.65205</v>
      </c>
      <c r="H68" s="186">
        <v>38728.608974999996</v>
      </c>
      <c r="I68" s="186">
        <v>11290.48630150017</v>
      </c>
      <c r="J68" s="186">
        <v>41114.137499844473</v>
      </c>
      <c r="K68" s="187">
        <f>CRONOGRAMA!K10</f>
        <v>14160.104687310748</v>
      </c>
      <c r="L68" s="186">
        <f t="shared" si="1"/>
        <v>2926112.3451750823</v>
      </c>
      <c r="M68" s="188">
        <f t="shared" si="2"/>
        <v>0.880376517987009</v>
      </c>
      <c r="N68" s="189">
        <v>64</v>
      </c>
    </row>
    <row r="69" spans="2:14" ht="28.8">
      <c r="B69" s="723"/>
      <c r="C69" s="207" t="str">
        <f>CRONOGRAMA!C131</f>
        <v>INSTALAÇÃO-SISTEMA DE CHUVEIROS AUTOMÁTICOS VGA-4</v>
      </c>
      <c r="D69" s="214" t="str">
        <f>CRONOGRAMA!D131</f>
        <v>2.1</v>
      </c>
      <c r="E69" s="185">
        <f>CRONOGRAMA!E131</f>
        <v>126</v>
      </c>
      <c r="F69" s="221" t="str">
        <f>CRONOGRAMA!F131</f>
        <v xml:space="preserve">SPK PENDENTE K11 ( K160) RESPOSTA PADRÃO - COBERTURA </v>
      </c>
      <c r="G69" s="186">
        <v>1476.0664000000002</v>
      </c>
      <c r="H69" s="186">
        <v>949.38480000000004</v>
      </c>
      <c r="I69" s="186">
        <v>276.7725555589098</v>
      </c>
      <c r="J69" s="186">
        <v>430.31515746053657</v>
      </c>
      <c r="K69" s="187">
        <f>CRONOGRAMA!K131</f>
        <v>9838.056506551764</v>
      </c>
      <c r="L69" s="186">
        <f t="shared" si="1"/>
        <v>2935950.4016816341</v>
      </c>
      <c r="M69" s="188">
        <f t="shared" ref="M69:M100" si="3">L69/$K$208</f>
        <v>0.88333648428675793</v>
      </c>
      <c r="N69" s="190">
        <v>65</v>
      </c>
    </row>
    <row r="70" spans="2:14" ht="43.2">
      <c r="B70" s="723"/>
      <c r="C70" s="207" t="str">
        <f>CRONOGRAMA!C109</f>
        <v>INSTALAÇÃO-SISTEMA DE CHUVEIROS AUTOMÁTICOS VGA-4</v>
      </c>
      <c r="D70" s="214" t="str">
        <f>CRONOGRAMA!D109</f>
        <v>2.8</v>
      </c>
      <c r="E70" s="185">
        <f>CRONOGRAMA!E109</f>
        <v>104</v>
      </c>
      <c r="F70" s="221" t="str">
        <f>CRONOGRAMA!F109</f>
        <v xml:space="preserve">TUBO AÇO GALVANIZADO  COM COSTURA, NBR 5580, CLASSE L, DN = 100MM </v>
      </c>
      <c r="G70" s="186">
        <v>8916.3157600000013</v>
      </c>
      <c r="H70" s="186">
        <v>5215.5041400000009</v>
      </c>
      <c r="I70" s="186">
        <v>1520.4671586862087</v>
      </c>
      <c r="J70" s="186">
        <v>2599.3585520490569</v>
      </c>
      <c r="K70" s="187">
        <f>CRONOGRAMA!K109</f>
        <v>17241.238906877777</v>
      </c>
      <c r="L70" s="186">
        <f t="shared" si="1"/>
        <v>2953191.6405885117</v>
      </c>
      <c r="M70" s="188">
        <f t="shared" si="3"/>
        <v>0.88852383872981189</v>
      </c>
      <c r="N70" s="191">
        <v>66</v>
      </c>
    </row>
    <row r="71" spans="2:14" ht="86.4">
      <c r="B71" s="723"/>
      <c r="C71" s="207" t="str">
        <f>CRONOGRAMA!C82</f>
        <v>INSTALAÇÃO-SISTEMA DE CHUVEIROS AUTOMÁTICOS VGA-3</v>
      </c>
      <c r="D71" s="214" t="str">
        <f>CRONOGRAMA!D82</f>
        <v>2.10</v>
      </c>
      <c r="E71" s="185">
        <f>CRONOGRAMA!E82</f>
        <v>77</v>
      </c>
      <c r="F71" s="221" t="str">
        <f>CRONOGRAMA!F82</f>
        <v>JOELHO 90 GRAUS, EM FERRO GALVANIZADO, CONEXÃO ROSQUEADA, DN 25 (1"), INSTALADO EM REDE DE ALIMENTAÇÃO PARA SPRINKLER - FORNECIMENTO E INSTALAÇÃO. AF_12/2015</v>
      </c>
      <c r="G71" s="186">
        <v>11431.284299999999</v>
      </c>
      <c r="H71" s="186">
        <v>4270.4455500000004</v>
      </c>
      <c r="I71" s="186">
        <v>1244.9558158595696</v>
      </c>
      <c r="J71" s="186">
        <v>3332.5431047889574</v>
      </c>
      <c r="K71" s="187">
        <f>CRONOGRAMA!K82</f>
        <v>12434.588226017506</v>
      </c>
      <c r="L71" s="186">
        <f t="shared" ref="L71:L134" si="4">L70+K71</f>
        <v>2965626.2288145293</v>
      </c>
      <c r="M71" s="188">
        <f t="shared" si="3"/>
        <v>0.89226502095170246</v>
      </c>
      <c r="N71" s="191">
        <v>67</v>
      </c>
    </row>
    <row r="72" spans="2:14" ht="43.2">
      <c r="B72" s="723"/>
      <c r="C72" s="207" t="str">
        <f>CRONOGRAMA!C141</f>
        <v>INSTALAÇÃO-REDE GERAL</v>
      </c>
      <c r="D72" s="214" t="str">
        <f>CRONOGRAMA!D141</f>
        <v>3.6</v>
      </c>
      <c r="E72" s="185">
        <f>CRONOGRAMA!E141</f>
        <v>136</v>
      </c>
      <c r="F72" s="221" t="str">
        <f>CRONOGRAMA!F141</f>
        <v>VALVULA DE GOVERNO FLANG 6'' - COMPL - NBR-FORNCECIMENTO E INSTALAÇÃO</v>
      </c>
      <c r="G72" s="186">
        <v>1404.1877199999999</v>
      </c>
      <c r="H72" s="186">
        <v>602.65296000000001</v>
      </c>
      <c r="I72" s="186">
        <v>175.6904048330471</v>
      </c>
      <c r="J72" s="186">
        <v>409.36048665287126</v>
      </c>
      <c r="K72" s="187">
        <f>CRONOGRAMA!K141</f>
        <v>7837.6525238057311</v>
      </c>
      <c r="L72" s="186">
        <f t="shared" si="4"/>
        <v>2973463.8813383351</v>
      </c>
      <c r="M72" s="188">
        <f t="shared" si="3"/>
        <v>0.8946231276899751</v>
      </c>
      <c r="N72" s="189">
        <v>68</v>
      </c>
    </row>
    <row r="73" spans="2:14" ht="43.2">
      <c r="B73" s="723"/>
      <c r="C73" s="207" t="str">
        <f>CRONOGRAMA!C81</f>
        <v>INSTALAÇÃO-SISTEMA DE CHUVEIROS AUTOMÁTICOS VGA-3</v>
      </c>
      <c r="D73" s="214" t="str">
        <f>CRONOGRAMA!D81</f>
        <v>2.9</v>
      </c>
      <c r="E73" s="185">
        <f>CRONOGRAMA!E81</f>
        <v>76</v>
      </c>
      <c r="F73" s="221" t="str">
        <f>CRONOGRAMA!F81</f>
        <v xml:space="preserve">TUBO AÇO GALVANIZADO  COM COSTURA, NBR 5580, CLASSE L, DN = 150MM </v>
      </c>
      <c r="G73" s="186">
        <v>3900</v>
      </c>
      <c r="H73" s="186">
        <v>317.52</v>
      </c>
      <c r="I73" s="186">
        <v>92.566072093280866</v>
      </c>
      <c r="J73" s="186">
        <v>1136.9604471019004</v>
      </c>
      <c r="K73" s="187">
        <f>CRONOGRAMA!K81</f>
        <v>15931.273245129301</v>
      </c>
      <c r="L73" s="186">
        <f t="shared" si="4"/>
        <v>2989395.1545834644</v>
      </c>
      <c r="M73" s="188">
        <f t="shared" si="3"/>
        <v>0.89941635406413445</v>
      </c>
      <c r="N73" s="190">
        <v>69</v>
      </c>
    </row>
    <row r="74" spans="2:14" ht="43.2">
      <c r="B74" s="723"/>
      <c r="C74" s="207" t="str">
        <f>CRONOGRAMA!C15</f>
        <v>INSTALAÇÃO-SISTEMA DE HIDRANTES</v>
      </c>
      <c r="D74" s="214" t="str">
        <f>CRONOGRAMA!D15</f>
        <v>1.2</v>
      </c>
      <c r="E74" s="185">
        <f>CRONOGRAMA!E15</f>
        <v>10</v>
      </c>
      <c r="F74" s="221" t="str">
        <f>CRONOGRAMA!F15</f>
        <v>ABRIGO DE HIDRANTE SOBREPOR 90X60X17 -FORNECIMENTO E INSTALAÇÃO</v>
      </c>
      <c r="G74" s="186">
        <v>116874.96966</v>
      </c>
      <c r="H74" s="186">
        <v>43182.402479999997</v>
      </c>
      <c r="I74" s="186">
        <v>12588.893238614104</v>
      </c>
      <c r="J74" s="186">
        <v>34072.363528116577</v>
      </c>
      <c r="K74" s="187">
        <f>CRONOGRAMA!K15</f>
        <v>11895.518266973406</v>
      </c>
      <c r="L74" s="186">
        <f t="shared" si="4"/>
        <v>3001290.6728504379</v>
      </c>
      <c r="M74" s="188">
        <f t="shared" si="3"/>
        <v>0.90299534684231586</v>
      </c>
      <c r="N74" s="191">
        <v>70</v>
      </c>
    </row>
    <row r="75" spans="2:14" ht="86.4">
      <c r="B75" s="723"/>
      <c r="C75" s="207" t="str">
        <f>CRONOGRAMA!C104</f>
        <v>INSTALAÇÃO-SISTEMA DE CHUVEIROS AUTOMÁTICOS VGA-4</v>
      </c>
      <c r="D75" s="214" t="str">
        <f>CRONOGRAMA!D104</f>
        <v>2.3</v>
      </c>
      <c r="E75" s="185">
        <f>CRONOGRAMA!E104</f>
        <v>99</v>
      </c>
      <c r="F75" s="221" t="str">
        <f>CRONOGRAMA!F104</f>
        <v>TUBO DE AÇO GALVANIZADO COM COSTURA, CLASSE MÉDIA, CONEXÃO ROSQUEADA, DN 25 (1"), INSTALADO EM REDE DE ALIMENTAÇÃO PARA SPRINKLER - FORNECIMENTO E INSTALAÇÃO. AF_10/2020</v>
      </c>
      <c r="G75" s="186">
        <v>0</v>
      </c>
      <c r="H75" s="186">
        <v>1786.56</v>
      </c>
      <c r="I75" s="186">
        <v>520.83283496778745</v>
      </c>
      <c r="J75" s="186">
        <v>0</v>
      </c>
      <c r="K75" s="187">
        <f>CRONOGRAMA!K104</f>
        <v>12620.711548676578</v>
      </c>
      <c r="L75" s="186">
        <f t="shared" si="4"/>
        <v>3013911.3843991146</v>
      </c>
      <c r="M75" s="188">
        <f t="shared" si="3"/>
        <v>0.90679252780362229</v>
      </c>
      <c r="N75" s="191">
        <v>71</v>
      </c>
    </row>
    <row r="76" spans="2:14">
      <c r="B76" s="723"/>
      <c r="C76" s="207" t="str">
        <f>CRONOGRAMA!C121</f>
        <v>INSTALAÇÃO-SISTEMA DE CHUVEIROS AUTOMÁTICOS VGA-4</v>
      </c>
      <c r="D76" s="214" t="str">
        <f>CRONOGRAMA!D121</f>
        <v>2.20</v>
      </c>
      <c r="E76" s="185">
        <f>CRONOGRAMA!E121</f>
        <v>116</v>
      </c>
      <c r="F76" s="221" t="str">
        <f>CRONOGRAMA!F121</f>
        <v>TE DE REDUCAO DE   2"X1"</v>
      </c>
      <c r="G76" s="186">
        <v>777.1</v>
      </c>
      <c r="H76" s="186">
        <v>411.8</v>
      </c>
      <c r="I76" s="186">
        <v>120.0513620811699</v>
      </c>
      <c r="J76" s="186">
        <v>226.5466572930479</v>
      </c>
      <c r="K76" s="187">
        <f>CRONOGRAMA!K121</f>
        <v>10584.801895025486</v>
      </c>
      <c r="L76" s="186">
        <f t="shared" si="4"/>
        <v>3024496.1862941403</v>
      </c>
      <c r="M76" s="188">
        <f t="shared" si="3"/>
        <v>0.90997716664747619</v>
      </c>
      <c r="N76" s="189">
        <v>72</v>
      </c>
    </row>
    <row r="77" spans="2:14">
      <c r="B77" s="723"/>
      <c r="C77" s="207" t="str">
        <f>CRONOGRAMA!C36</f>
        <v>INSTALAÇÃO-SISTEMA DE CHUVEIROS AUTOMÁTICOS VGA-1</v>
      </c>
      <c r="D77" s="214" t="str">
        <f>CRONOGRAMA!D36</f>
        <v>2.22</v>
      </c>
      <c r="E77" s="185">
        <f>CRONOGRAMA!E36</f>
        <v>31</v>
      </c>
      <c r="F77" s="221" t="str">
        <f>CRONOGRAMA!F36</f>
        <v>TE DE REDUCAO  DE 2.1/2" X 2"</v>
      </c>
      <c r="G77" s="186">
        <v>31818.750560999997</v>
      </c>
      <c r="H77" s="186">
        <v>15333.596460000001</v>
      </c>
      <c r="I77" s="186">
        <v>4470.177612010697</v>
      </c>
      <c r="J77" s="186">
        <v>9276.0668882201026</v>
      </c>
      <c r="K77" s="187">
        <f>CRONOGRAMA!K36</f>
        <v>10675.03600166843</v>
      </c>
      <c r="L77" s="186">
        <f t="shared" si="4"/>
        <v>3035171.2222958086</v>
      </c>
      <c r="M77" s="188">
        <f t="shared" si="3"/>
        <v>0.91318895413746481</v>
      </c>
      <c r="N77" s="190">
        <v>73</v>
      </c>
    </row>
    <row r="78" spans="2:14">
      <c r="B78" s="723"/>
      <c r="C78" s="207" t="str">
        <f>CRONOGRAMA!C65</f>
        <v>INSTALAÇÃO-SISTEMA DE CHUVEIROS AUTOMÁTICOS VGA-2</v>
      </c>
      <c r="D78" s="214" t="str">
        <f>CRONOGRAMA!D65</f>
        <v>2.22</v>
      </c>
      <c r="E78" s="185">
        <f>CRONOGRAMA!E65</f>
        <v>60</v>
      </c>
      <c r="F78" s="221" t="str">
        <f>CRONOGRAMA!F65</f>
        <v>TE DE REDUCAO  DE 2.1/2" X 2"</v>
      </c>
      <c r="G78" s="186">
        <v>5266.8</v>
      </c>
      <c r="H78" s="186">
        <v>1383.0479999999998</v>
      </c>
      <c r="I78" s="186">
        <v>403.19765960086892</v>
      </c>
      <c r="J78" s="186">
        <v>1535.421354563151</v>
      </c>
      <c r="K78" s="187">
        <f>CRONOGRAMA!K65</f>
        <v>10342.480362987171</v>
      </c>
      <c r="L78" s="186">
        <f t="shared" si="4"/>
        <v>3045513.7026587958</v>
      </c>
      <c r="M78" s="188">
        <f t="shared" si="3"/>
        <v>0.9163006859424071</v>
      </c>
      <c r="N78" s="191">
        <v>74</v>
      </c>
    </row>
    <row r="79" spans="2:14">
      <c r="B79" s="723"/>
      <c r="C79" s="207" t="str">
        <f>CRONOGRAMA!C119</f>
        <v>INSTALAÇÃO-SISTEMA DE CHUVEIROS AUTOMÁTICOS VGA-4</v>
      </c>
      <c r="D79" s="214" t="str">
        <f>CRONOGRAMA!D119</f>
        <v>2.18</v>
      </c>
      <c r="E79" s="185">
        <f>CRONOGRAMA!E119</f>
        <v>114</v>
      </c>
      <c r="F79" s="221" t="str">
        <f>CRONOGRAMA!F119</f>
        <v>TE DE REDUCAO DE   1"X3/4"</v>
      </c>
      <c r="G79" s="186">
        <v>908.42</v>
      </c>
      <c r="H79" s="186">
        <v>329.44</v>
      </c>
      <c r="I79" s="186">
        <v>96.04108966493591</v>
      </c>
      <c r="J79" s="186">
        <v>264.83015624520726</v>
      </c>
      <c r="K79" s="187">
        <f>CRONOGRAMA!K119</f>
        <v>9155.1653961027096</v>
      </c>
      <c r="L79" s="186">
        <f t="shared" si="4"/>
        <v>3054668.8680548985</v>
      </c>
      <c r="M79" s="188">
        <f t="shared" si="3"/>
        <v>0.91905519147132375</v>
      </c>
      <c r="N79" s="191">
        <v>75</v>
      </c>
    </row>
    <row r="80" spans="2:14" ht="86.4">
      <c r="B80" s="723"/>
      <c r="C80" s="207" t="str">
        <f>CRONOGRAMA!C28</f>
        <v>INSTALAÇÃO-SISTEMA DE CHUVEIROS AUTOMÁTICOS VGA-1</v>
      </c>
      <c r="D80" s="214" t="str">
        <f>CRONOGRAMA!D28</f>
        <v>2.14</v>
      </c>
      <c r="E80" s="185">
        <f>CRONOGRAMA!E28</f>
        <v>23</v>
      </c>
      <c r="F80" s="221" t="str">
        <f>CRONOGRAMA!F28</f>
        <v>COTOVELO 90 GRAUS,DE REDUÇÃO EM FERRO GALVANIZADO, CONEXÃO ROSQUEADA, 2"X1.1/2", INSTALADO EM REDE DE ALIMENTAÇÃO PARA SPRINKLER - FORNECIMENTO E INSTALAÇÃO</v>
      </c>
      <c r="G80" s="186">
        <v>18818.37</v>
      </c>
      <c r="H80" s="186">
        <v>7559.68</v>
      </c>
      <c r="I80" s="186">
        <v>2203.8608083967424</v>
      </c>
      <c r="J80" s="186">
        <v>5486.0877869048691</v>
      </c>
      <c r="K80" s="187">
        <f>CRONOGRAMA!K28</f>
        <v>9388.4242667144699</v>
      </c>
      <c r="L80" s="186">
        <f t="shared" si="4"/>
        <v>3064057.2923216131</v>
      </c>
      <c r="M80" s="188">
        <f t="shared" si="3"/>
        <v>0.92187987736520061</v>
      </c>
      <c r="N80" s="189">
        <v>76</v>
      </c>
    </row>
    <row r="81" spans="2:14" ht="86.4">
      <c r="B81" s="723"/>
      <c r="C81" s="207" t="str">
        <f>CRONOGRAMA!C57</f>
        <v>INSTALAÇÃO-SISTEMA DE CHUVEIROS AUTOMÁTICOS VGA-2</v>
      </c>
      <c r="D81" s="214" t="str">
        <f>CRONOGRAMA!D57</f>
        <v>2.14</v>
      </c>
      <c r="E81" s="185">
        <f>CRONOGRAMA!E57</f>
        <v>52</v>
      </c>
      <c r="F81" s="221" t="str">
        <f>CRONOGRAMA!F57</f>
        <v>COTOVELO 90 GRAUS,DE REDUÇÃO EM FERRO GALVANIZADO, CONEXÃO ROSQUEADA, 2"X1.1/2", INSTALADO EM REDE DE ALIMENTAÇÃO PARA SPRINKLER - FORNECIMENTO E INSTALAÇÃO</v>
      </c>
      <c r="G81" s="186">
        <v>12295.41102</v>
      </c>
      <c r="H81" s="186">
        <v>20459.917170000001</v>
      </c>
      <c r="I81" s="186">
        <v>5964.6452751977049</v>
      </c>
      <c r="J81" s="186">
        <v>3584.4605155386748</v>
      </c>
      <c r="K81" s="187">
        <f>CRONOGRAMA!K57</f>
        <v>9095.9499904928343</v>
      </c>
      <c r="L81" s="186">
        <f t="shared" si="4"/>
        <v>3073153.2423121058</v>
      </c>
      <c r="M81" s="188">
        <f t="shared" si="3"/>
        <v>0.92461656681378535</v>
      </c>
      <c r="N81" s="190">
        <v>77</v>
      </c>
    </row>
    <row r="82" spans="2:14" ht="43.2">
      <c r="B82" s="723"/>
      <c r="C82" s="207" t="str">
        <f>CRONOGRAMA!C143</f>
        <v>INSTALAÇÃO-CASA DE BOMBAS</v>
      </c>
      <c r="D82" s="214" t="str">
        <f>CRONOGRAMA!D143</f>
        <v>4.1</v>
      </c>
      <c r="E82" s="185">
        <f>CRONOGRAMA!E143</f>
        <v>138</v>
      </c>
      <c r="F82" s="221" t="str">
        <f>CRONOGRAMA!F143</f>
        <v>Bomba jockey vazão 20 L/min (1,20m³/h) e pressão 104 mca-FORNCECIMENTO E INSTALAÇÃO</v>
      </c>
      <c r="G82" s="186">
        <v>1404.1877199999999</v>
      </c>
      <c r="H82" s="186">
        <v>602.65296000000001</v>
      </c>
      <c r="I82" s="186">
        <v>175.6904048330471</v>
      </c>
      <c r="J82" s="186">
        <v>409.36048665287126</v>
      </c>
      <c r="K82" s="187">
        <f>CRONOGRAMA!K143</f>
        <v>8178.3706098441808</v>
      </c>
      <c r="L82" s="186">
        <f t="shared" si="4"/>
        <v>3081331.6129219499</v>
      </c>
      <c r="M82" s="188">
        <f t="shared" si="3"/>
        <v>0.92707718506454184</v>
      </c>
      <c r="N82" s="191">
        <v>78</v>
      </c>
    </row>
    <row r="83" spans="2:14">
      <c r="B83" s="723"/>
      <c r="C83" s="207" t="str">
        <f>CRONOGRAMA!C94</f>
        <v>INSTALAÇÃO-SISTEMA DE CHUVEIROS AUTOMÁTICOS VGA-3</v>
      </c>
      <c r="D83" s="214" t="str">
        <f>CRONOGRAMA!D94</f>
        <v>2.22</v>
      </c>
      <c r="E83" s="185">
        <f>CRONOGRAMA!E94</f>
        <v>89</v>
      </c>
      <c r="F83" s="221" t="str">
        <f>CRONOGRAMA!F94</f>
        <v>TE DE REDUCAO  DE 2.1/2" X 2"</v>
      </c>
      <c r="G83" s="186">
        <v>2083.5499999999997</v>
      </c>
      <c r="H83" s="186">
        <v>277.83000000000004</v>
      </c>
      <c r="I83" s="186">
        <v>80.995313081620779</v>
      </c>
      <c r="J83" s="186">
        <v>607.41383065619596</v>
      </c>
      <c r="K83" s="187">
        <f>CRONOGRAMA!K94</f>
        <v>8712.9577334490004</v>
      </c>
      <c r="L83" s="186">
        <f t="shared" si="4"/>
        <v>3090044.570655399</v>
      </c>
      <c r="M83" s="188">
        <f t="shared" si="3"/>
        <v>0.92969864401275693</v>
      </c>
      <c r="N83" s="191">
        <v>79</v>
      </c>
    </row>
    <row r="84" spans="2:14" ht="43.2">
      <c r="B84" s="723"/>
      <c r="C84" s="207" t="str">
        <f>CRONOGRAMA!C157</f>
        <v>INSTALAÇÃO-CASA DE BOMBAS</v>
      </c>
      <c r="D84" s="214" t="str">
        <f>CRONOGRAMA!D157</f>
        <v>4.15</v>
      </c>
      <c r="E84" s="185">
        <f>CRONOGRAMA!E157</f>
        <v>152</v>
      </c>
      <c r="F84" s="221" t="str">
        <f>CRONOGRAMA!F157</f>
        <v>TUBO AÇO  COM COSTURA, NBR 5590, SCH 40, DN = 200MM -FORNCECIMENTO E INSTALAÇÃO</v>
      </c>
      <c r="G84" s="186">
        <v>986.01</v>
      </c>
      <c r="H84" s="186">
        <v>80.88</v>
      </c>
      <c r="I84" s="186">
        <v>23.578810502974793</v>
      </c>
      <c r="J84" s="186">
        <v>287.44983857613971</v>
      </c>
      <c r="K84" s="187">
        <f>CRONOGRAMA!K157</f>
        <v>8687.3588209974587</v>
      </c>
      <c r="L84" s="186">
        <f t="shared" si="4"/>
        <v>3098731.9294763966</v>
      </c>
      <c r="M84" s="188">
        <f t="shared" si="3"/>
        <v>0.93231240104158219</v>
      </c>
      <c r="N84" s="189">
        <v>80</v>
      </c>
    </row>
    <row r="85" spans="2:14" ht="86.4">
      <c r="B85" s="723"/>
      <c r="C85" s="207" t="str">
        <f>CRONOGRAMA!C108</f>
        <v>INSTALAÇÃO-SISTEMA DE CHUVEIROS AUTOMÁTICOS VGA-4</v>
      </c>
      <c r="D85" s="214" t="str">
        <f>CRONOGRAMA!D108</f>
        <v>2.7</v>
      </c>
      <c r="E85" s="185">
        <f>CRONOGRAMA!E108</f>
        <v>103</v>
      </c>
      <c r="F85" s="221" t="str">
        <f>CRONOGRAMA!F108</f>
        <v>TUBO DE AÇO GALVANIZADO COM COSTURA, CLASSE MÉDIA, CONEXÃO ROSQUEADA, DN 65 (2 1/2"), INSTALADO EM REDE DE ALIMENTAÇÃO PARA SPRINKLER - FORNECIMENTO E INSTALAÇÃO. AF_10/2020</v>
      </c>
      <c r="G85" s="186">
        <v>0</v>
      </c>
      <c r="H85" s="186">
        <v>1499.52</v>
      </c>
      <c r="I85" s="186">
        <v>437.15254606108761</v>
      </c>
      <c r="J85" s="186">
        <v>0</v>
      </c>
      <c r="K85" s="187">
        <f>CRONOGRAMA!K108</f>
        <v>9853.5703861804377</v>
      </c>
      <c r="L85" s="186">
        <f t="shared" si="4"/>
        <v>3108585.4998625773</v>
      </c>
      <c r="M85" s="188">
        <f t="shared" si="3"/>
        <v>0.93527703498690207</v>
      </c>
      <c r="N85" s="190">
        <v>81</v>
      </c>
    </row>
    <row r="86" spans="2:14" ht="86.4">
      <c r="B86" s="723"/>
      <c r="C86" s="207" t="str">
        <f>CRONOGRAMA!C86</f>
        <v>INSTALAÇÃO-SISTEMA DE CHUVEIROS AUTOMÁTICOS VGA-3</v>
      </c>
      <c r="D86" s="214" t="str">
        <f>CRONOGRAMA!D86</f>
        <v>2.14</v>
      </c>
      <c r="E86" s="185">
        <f>CRONOGRAMA!E86</f>
        <v>81</v>
      </c>
      <c r="F86" s="221" t="str">
        <f>CRONOGRAMA!F86</f>
        <v>COTOVELO 90 GRAUS,DE REDUÇÃO EM FERRO GALVANIZADO, CONEXÃO ROSQUEADA, 2"X1.1/2", INSTALADO EM REDE DE ALIMENTAÇÃO PARA SPRINKLER - FORNECIMENTO E INSTALAÇÃO</v>
      </c>
      <c r="G86" s="186">
        <v>27975.521769999999</v>
      </c>
      <c r="H86" s="186">
        <v>6822.5621624999994</v>
      </c>
      <c r="I86" s="186">
        <v>1988.970083758079</v>
      </c>
      <c r="J86" s="186">
        <v>8155.656856289268</v>
      </c>
      <c r="K86" s="187">
        <f>CRONOGRAMA!K86</f>
        <v>7662.8260370068265</v>
      </c>
      <c r="L86" s="186">
        <f t="shared" si="4"/>
        <v>3116248.3258995842</v>
      </c>
      <c r="M86" s="188">
        <f t="shared" si="3"/>
        <v>0.93758254185355538</v>
      </c>
      <c r="N86" s="191">
        <v>82</v>
      </c>
    </row>
    <row r="87" spans="2:14">
      <c r="B87" s="723"/>
      <c r="C87" s="207" t="str">
        <f>CRONOGRAMA!C124</f>
        <v>INSTALAÇÃO-SISTEMA DE CHUVEIROS AUTOMÁTICOS VGA-4</v>
      </c>
      <c r="D87" s="214" t="str">
        <f>CRONOGRAMA!D124</f>
        <v>2.23</v>
      </c>
      <c r="E87" s="185">
        <f>CRONOGRAMA!E124</f>
        <v>119</v>
      </c>
      <c r="F87" s="221" t="str">
        <f>CRONOGRAMA!F124</f>
        <v>TE DE REDUCAO  DE 4" X 2"</v>
      </c>
      <c r="G87" s="186">
        <v>2551.1815799999999</v>
      </c>
      <c r="H87" s="186">
        <v>980.62083000000007</v>
      </c>
      <c r="I87" s="186">
        <v>285.87874290108635</v>
      </c>
      <c r="J87" s="186">
        <v>743.74167944485453</v>
      </c>
      <c r="K87" s="187">
        <f>CRONOGRAMA!K124</f>
        <v>7698.9762528509573</v>
      </c>
      <c r="L87" s="186">
        <f t="shared" si="4"/>
        <v>3123947.3021524353</v>
      </c>
      <c r="M87" s="188">
        <f t="shared" si="3"/>
        <v>0.93989892519978135</v>
      </c>
      <c r="N87" s="191">
        <v>83</v>
      </c>
    </row>
    <row r="88" spans="2:14" ht="86.4">
      <c r="B88" s="723"/>
      <c r="C88" s="207" t="str">
        <f>CRONOGRAMA!C114</f>
        <v>INSTALAÇÃO-SISTEMA DE CHUVEIROS AUTOMÁTICOS VGA-4</v>
      </c>
      <c r="D88" s="214" t="str">
        <f>CRONOGRAMA!D114</f>
        <v>2.13</v>
      </c>
      <c r="E88" s="185">
        <f>CRONOGRAMA!E114</f>
        <v>109</v>
      </c>
      <c r="F88" s="221" t="str">
        <f>CRONOGRAMA!F114</f>
        <v xml:space="preserve">COTOVELO DE 90 GRAUS, DE REDUÇÃO EM FERRO GALVANIZADO, CONEXÃO ROSQUEADA, 1"X3/4", INSTALADO EM REDE DE ALIMENTAÇÃO PARA SPRINKLER - FORNECIMENTO E INSTALAÇÃO. </v>
      </c>
      <c r="G88" s="186">
        <v>1488.375</v>
      </c>
      <c r="H88" s="186">
        <v>2926.93905</v>
      </c>
      <c r="I88" s="186">
        <v>853.28562331487478</v>
      </c>
      <c r="J88" s="186">
        <v>433.90346293725412</v>
      </c>
      <c r="K88" s="187">
        <f>CRONOGRAMA!K114</f>
        <v>6746.0188617088343</v>
      </c>
      <c r="L88" s="186">
        <f t="shared" si="4"/>
        <v>3130693.321014144</v>
      </c>
      <c r="M88" s="188">
        <f t="shared" si="3"/>
        <v>0.94192859320126421</v>
      </c>
      <c r="N88" s="189">
        <v>84</v>
      </c>
    </row>
    <row r="89" spans="2:14" ht="28.8">
      <c r="B89" s="723"/>
      <c r="C89" s="207" t="str">
        <f>CRONOGRAMA!C174</f>
        <v>INSTALAÇÃO-SISTEMA DE ALARME DE INCÊNDIO</v>
      </c>
      <c r="D89" s="214" t="str">
        <f>CRONOGRAMA!D174</f>
        <v>5.6</v>
      </c>
      <c r="E89" s="185">
        <f>CRONOGRAMA!E174</f>
        <v>169</v>
      </c>
      <c r="F89" s="221" t="str">
        <f>CRONOGRAMA!F174</f>
        <v>DETECTOR DE FUM END. DFE 520 - INTELBRAS OU SIMILAR</v>
      </c>
      <c r="G89" s="186">
        <v>66</v>
      </c>
      <c r="H89" s="186">
        <v>39.69</v>
      </c>
      <c r="I89" s="186">
        <v>11.570759011660108</v>
      </c>
      <c r="J89" s="186">
        <v>19.240869104801391</v>
      </c>
      <c r="K89" s="187">
        <f>CRONOGRAMA!K174</f>
        <v>7420.8375891664509</v>
      </c>
      <c r="L89" s="186">
        <f t="shared" si="4"/>
        <v>3138114.1586033106</v>
      </c>
      <c r="M89" s="188">
        <f t="shared" si="3"/>
        <v>0.94416129324371822</v>
      </c>
      <c r="N89" s="190">
        <v>85</v>
      </c>
    </row>
    <row r="90" spans="2:14" ht="28.8">
      <c r="B90" s="723"/>
      <c r="C90" s="207" t="str">
        <f>CRONOGRAMA!C13</f>
        <v>INSTALAÇÃO-SISTEMA DE HIDRANTES</v>
      </c>
      <c r="D90" s="214" t="str">
        <f>CRONOGRAMA!D13</f>
        <v>1.10</v>
      </c>
      <c r="E90" s="185">
        <f>CRONOGRAMA!E13</f>
        <v>8</v>
      </c>
      <c r="F90" s="221" t="str">
        <f>CRONOGRAMA!F13</f>
        <v>TE DE ACO GALVANIZADO 4" - FORNECIMENTO E INSTALACAO</v>
      </c>
      <c r="G90" s="186">
        <v>116874.96966</v>
      </c>
      <c r="H90" s="186">
        <v>43182.402479999997</v>
      </c>
      <c r="I90" s="186">
        <v>12588.893238614104</v>
      </c>
      <c r="J90" s="186">
        <v>34072.363528116577</v>
      </c>
      <c r="K90" s="187">
        <f>CRONOGRAMA!K13</f>
        <v>6926.0427576361126</v>
      </c>
      <c r="L90" s="186">
        <f t="shared" si="4"/>
        <v>3145040.2013609465</v>
      </c>
      <c r="M90" s="188">
        <f t="shared" si="3"/>
        <v>0.94624512485614798</v>
      </c>
      <c r="N90" s="191">
        <v>86</v>
      </c>
    </row>
    <row r="91" spans="2:14">
      <c r="B91" s="723"/>
      <c r="C91" s="207" t="str">
        <f>CRONOGRAMA!C159</f>
        <v>INSTALAÇÃO-CASA DE BOMBAS</v>
      </c>
      <c r="D91" s="214" t="str">
        <f>CRONOGRAMA!D159</f>
        <v>4.17</v>
      </c>
      <c r="E91" s="185">
        <f>CRONOGRAMA!E159</f>
        <v>154</v>
      </c>
      <c r="F91" s="221" t="str">
        <f>CRONOGRAMA!F159</f>
        <v>VALVULA DE RETENÇÃO 8"</v>
      </c>
      <c r="G91" s="186">
        <v>986.01</v>
      </c>
      <c r="H91" s="186">
        <v>80.88</v>
      </c>
      <c r="I91" s="186">
        <v>23.578810502974793</v>
      </c>
      <c r="J91" s="186">
        <v>287.44983857613971</v>
      </c>
      <c r="K91" s="187">
        <f>CRONOGRAMA!K159</f>
        <v>4164.1972697343153</v>
      </c>
      <c r="L91" s="186">
        <f t="shared" si="4"/>
        <v>3149204.398630681</v>
      </c>
      <c r="M91" s="188">
        <f t="shared" si="3"/>
        <v>0.94749800275695206</v>
      </c>
      <c r="N91" s="191">
        <v>87</v>
      </c>
    </row>
    <row r="92" spans="2:14" ht="43.2">
      <c r="B92" s="723"/>
      <c r="C92" s="207" t="str">
        <f>CRONOGRAMA!C140</f>
        <v>INSTALAÇÃO-REDE GERAL</v>
      </c>
      <c r="D92" s="214" t="str">
        <f>CRONOGRAMA!D140</f>
        <v>3.5</v>
      </c>
      <c r="E92" s="185">
        <f>CRONOGRAMA!E140</f>
        <v>135</v>
      </c>
      <c r="F92" s="221" t="str">
        <f>CRONOGRAMA!F140</f>
        <v>VALVULA BORBOLETA FLANGEADA C/ CAIXA RED. 4'' -FORNCECIMENTO E INSTALAÇÃO</v>
      </c>
      <c r="G92" s="186">
        <v>1476.0664000000002</v>
      </c>
      <c r="H92" s="186">
        <v>949.38480000000004</v>
      </c>
      <c r="I92" s="186">
        <v>276.7725555589098</v>
      </c>
      <c r="J92" s="186">
        <v>430.31515746053657</v>
      </c>
      <c r="K92" s="187">
        <f>CRONOGRAMA!K140</f>
        <v>3921.2866233520272</v>
      </c>
      <c r="L92" s="186">
        <f t="shared" si="4"/>
        <v>3153125.6852540332</v>
      </c>
      <c r="M92" s="188">
        <f t="shared" si="3"/>
        <v>0.94867779637259642</v>
      </c>
      <c r="N92" s="189">
        <v>88</v>
      </c>
    </row>
    <row r="93" spans="2:14" ht="72">
      <c r="B93" s="723"/>
      <c r="C93" s="207" t="str">
        <f>CRONOGRAMA!C126</f>
        <v>INSTALAÇÃO-SISTEMA DE CHUVEIROS AUTOMÁTICOS VGA-4</v>
      </c>
      <c r="D93" s="214" t="str">
        <f>CRONOGRAMA!D126</f>
        <v>2.25</v>
      </c>
      <c r="E93" s="185">
        <f>CRONOGRAMA!E126</f>
        <v>121</v>
      </c>
      <c r="F93" s="221" t="str">
        <f>CRONOGRAMA!F126</f>
        <v>TÊ, EM FERRO GALVANIZADO, CONEXÃO ROSQUEADA, DN 25 (1"), INSTALADO EM REDE DE ALIMENTAÇÃO PARA SPRINKLER - FORNECIMENTO E INSTALAÇÃO. AF_10/2020</v>
      </c>
      <c r="G93" s="186">
        <v>950</v>
      </c>
      <c r="H93" s="186">
        <v>0</v>
      </c>
      <c r="I93" s="186">
        <v>0</v>
      </c>
      <c r="J93" s="186">
        <v>276.95190378123215</v>
      </c>
      <c r="K93" s="187">
        <f>CRONOGRAMA!K126</f>
        <v>5270.2649137261396</v>
      </c>
      <c r="L93" s="186">
        <f t="shared" si="4"/>
        <v>3158395.9501677593</v>
      </c>
      <c r="M93" s="188">
        <f t="shared" si="3"/>
        <v>0.95026345574800142</v>
      </c>
      <c r="N93" s="190">
        <v>89</v>
      </c>
    </row>
    <row r="94" spans="2:14" ht="86.4">
      <c r="B94" s="723"/>
      <c r="C94" s="207" t="str">
        <f>CRONOGRAMA!C111</f>
        <v>INSTALAÇÃO-SISTEMA DE CHUVEIROS AUTOMÁTICOS VGA-4</v>
      </c>
      <c r="D94" s="214" t="str">
        <f>CRONOGRAMA!D111</f>
        <v>2.10</v>
      </c>
      <c r="E94" s="185">
        <f>CRONOGRAMA!E111</f>
        <v>106</v>
      </c>
      <c r="F94" s="221" t="str">
        <f>CRONOGRAMA!F111</f>
        <v>JOELHO 90 GRAUS, EM FERRO GALVANIZADO, CONEXÃO ROSQUEADA, DN 25 (1"), INSTALADO EM REDE DE ALIMENTAÇÃO PARA SPRINKLER - FORNECIMENTO E INSTALAÇÃO. AF_12/2015</v>
      </c>
      <c r="G94" s="186">
        <v>4189.7375000000002</v>
      </c>
      <c r="H94" s="186">
        <v>960.45</v>
      </c>
      <c r="I94" s="186">
        <v>279.9983747228257</v>
      </c>
      <c r="J94" s="186">
        <v>1221.427133651179</v>
      </c>
      <c r="K94" s="187">
        <f>CRONOGRAMA!K111</f>
        <v>5030.7876028925784</v>
      </c>
      <c r="L94" s="186">
        <f t="shared" si="4"/>
        <v>3163426.7377706519</v>
      </c>
      <c r="M94" s="188">
        <f t="shared" si="3"/>
        <v>0.95177706382250682</v>
      </c>
      <c r="N94" s="191">
        <v>90</v>
      </c>
    </row>
    <row r="95" spans="2:14" ht="43.2">
      <c r="B95" s="723"/>
      <c r="C95" s="207" t="str">
        <f>CRONOGRAMA!C195</f>
        <v>PORTA CORTA FOGO</v>
      </c>
      <c r="D95" s="214" t="str">
        <f>CRONOGRAMA!D195</f>
        <v>9.2</v>
      </c>
      <c r="E95" s="185">
        <f>CRONOGRAMA!E195</f>
        <v>190</v>
      </c>
      <c r="F95" s="221" t="str">
        <f>CRONOGRAMA!F195</f>
        <v>PORTA CORTA FOGO COM TRRF 60MIN FORNECIMENTO E INSTALAÇÃO  230X210X5</v>
      </c>
      <c r="G95" s="186"/>
      <c r="H95" s="186"/>
      <c r="I95" s="186"/>
      <c r="J95" s="186"/>
      <c r="K95" s="187">
        <f>CRONOGRAMA!K195</f>
        <v>4139.3482648619465</v>
      </c>
      <c r="L95" s="186">
        <f t="shared" si="4"/>
        <v>3167566.0860355138</v>
      </c>
      <c r="M95" s="188">
        <f t="shared" si="3"/>
        <v>0.95302246542787017</v>
      </c>
      <c r="N95" s="191">
        <v>91</v>
      </c>
    </row>
    <row r="96" spans="2:14" ht="43.2">
      <c r="B96" s="723"/>
      <c r="C96" s="207" t="str">
        <f>CRONOGRAMA!C110</f>
        <v>INSTALAÇÃO-SISTEMA DE CHUVEIROS AUTOMÁTICOS VGA-4</v>
      </c>
      <c r="D96" s="214" t="str">
        <f>CRONOGRAMA!D110</f>
        <v>2.9</v>
      </c>
      <c r="E96" s="185">
        <f>CRONOGRAMA!E110</f>
        <v>105</v>
      </c>
      <c r="F96" s="221" t="str">
        <f>CRONOGRAMA!F110</f>
        <v xml:space="preserve">TUBO AÇO GALVANIZADO  COM COSTURA, NBR 5580, CLASSE L, DN = 150MM </v>
      </c>
      <c r="G96" s="186">
        <v>1333.33</v>
      </c>
      <c r="H96" s="186">
        <v>158.76</v>
      </c>
      <c r="I96" s="186">
        <v>46.283036046640433</v>
      </c>
      <c r="J96" s="186">
        <v>388.70345459855815</v>
      </c>
      <c r="K96" s="187">
        <f>CRONOGRAMA!K110</f>
        <v>6445.4769617698694</v>
      </c>
      <c r="L96" s="186">
        <f t="shared" si="4"/>
        <v>3174011.5629972839</v>
      </c>
      <c r="M96" s="188">
        <f t="shared" si="3"/>
        <v>0.95496170968611793</v>
      </c>
      <c r="N96" s="189">
        <v>92</v>
      </c>
    </row>
    <row r="97" spans="2:14" ht="57.6">
      <c r="B97" s="723"/>
      <c r="C97" s="207" t="str">
        <f>CRONOGRAMA!C137</f>
        <v>INSTALAÇÃO-REDE GERAL</v>
      </c>
      <c r="D97" s="214" t="str">
        <f>CRONOGRAMA!D137</f>
        <v>3.2</v>
      </c>
      <c r="E97" s="185">
        <f>CRONOGRAMA!E137</f>
        <v>132</v>
      </c>
      <c r="F97" s="221" t="str">
        <f>CRONOGRAMA!F137</f>
        <v>CURVA 90 GRAUS EM ACO GALVANIZADO , RAIO CURTO, SOLDAVEL, PRESSAO 3.000 LBS, DN 8" -FORNCECIMENTO E INSTALAÇÃO</v>
      </c>
      <c r="G97" s="186">
        <v>593.55999999999995</v>
      </c>
      <c r="H97" s="186">
        <v>80.88</v>
      </c>
      <c r="I97" s="186">
        <v>23.578810502974793</v>
      </c>
      <c r="J97" s="186">
        <v>173.03954948251382</v>
      </c>
      <c r="K97" s="187">
        <f>CRONOGRAMA!K137</f>
        <v>3119.4025201734044</v>
      </c>
      <c r="L97" s="186">
        <f t="shared" si="4"/>
        <v>3177130.9655174571</v>
      </c>
      <c r="M97" s="188">
        <f t="shared" si="3"/>
        <v>0.95590024122727302</v>
      </c>
      <c r="N97" s="190">
        <v>93</v>
      </c>
    </row>
    <row r="98" spans="2:14" ht="57.6">
      <c r="B98" s="723"/>
      <c r="C98" s="207" t="str">
        <f>CRONOGRAMA!C163</f>
        <v>INSTALAÇÃO-CASA DE BOMBAS</v>
      </c>
      <c r="D98" s="214" t="str">
        <f>CRONOGRAMA!D163</f>
        <v>4.21</v>
      </c>
      <c r="E98" s="185">
        <f>CRONOGRAMA!E163</f>
        <v>158</v>
      </c>
      <c r="F98" s="221" t="str">
        <f>CRONOGRAMA!F163</f>
        <v>CURVA 90 GRAUS EM ACO GALVANIZADO , RAIO CURTO, SOLDAVEL, PRESSAO 3.000 LBS, DN 8" -FORNCECIMENTO E INSTALAÇÃO</v>
      </c>
      <c r="G98" s="186">
        <v>183.74</v>
      </c>
      <c r="H98" s="186">
        <v>43.18</v>
      </c>
      <c r="I98" s="186">
        <v>12.588192847656424</v>
      </c>
      <c r="J98" s="186">
        <v>53.565413474487997</v>
      </c>
      <c r="K98" s="187">
        <f>CRONOGRAMA!K163</f>
        <v>3275.057513272051</v>
      </c>
      <c r="L98" s="186">
        <f t="shared" si="4"/>
        <v>3180406.023030729</v>
      </c>
      <c r="M98" s="188">
        <f t="shared" si="3"/>
        <v>0.95688560453175986</v>
      </c>
      <c r="N98" s="191">
        <v>94</v>
      </c>
    </row>
    <row r="99" spans="2:14" ht="28.8">
      <c r="B99" s="723"/>
      <c r="C99" s="207" t="str">
        <f>CRONOGRAMA!C191</f>
        <v>INSTALAÇÃO-SISTEMA DE SINALIZAÇÃO DE EMERGÊNCIA</v>
      </c>
      <c r="D99" s="214" t="str">
        <f>CRONOGRAMA!D191</f>
        <v>7.8</v>
      </c>
      <c r="E99" s="185">
        <f>CRONOGRAMA!E191</f>
        <v>186</v>
      </c>
      <c r="F99" s="221" t="str">
        <f>CRONOGRAMA!F191</f>
        <v>SINAL FOT. S2 ROTA DE SAIDA `À ESQUERDA`380x180</v>
      </c>
      <c r="G99" s="192"/>
      <c r="H99" s="192"/>
      <c r="I99" s="192"/>
      <c r="J99" s="192"/>
      <c r="K99" s="187">
        <f>CRONOGRAMA!K191</f>
        <v>2173.4613482076679</v>
      </c>
      <c r="L99" s="186">
        <f t="shared" si="4"/>
        <v>3182579.4843789367</v>
      </c>
      <c r="M99" s="188">
        <f t="shared" si="3"/>
        <v>0.95753953169107398</v>
      </c>
      <c r="N99" s="191">
        <v>95</v>
      </c>
    </row>
    <row r="100" spans="2:14" ht="28.8">
      <c r="B100" s="723"/>
      <c r="C100" s="207" t="str">
        <f>CRONOGRAMA!C190</f>
        <v>INSTALAÇÃO-SISTEMA DE SINALIZAÇÃO DE EMERGÊNCIA</v>
      </c>
      <c r="D100" s="214" t="str">
        <f>CRONOGRAMA!D190</f>
        <v>7.7</v>
      </c>
      <c r="E100" s="185">
        <f>CRONOGRAMA!E190</f>
        <v>185</v>
      </c>
      <c r="F100" s="221" t="str">
        <f>CRONOGRAMA!F190</f>
        <v>SINAL FOT. S1 ROTA DE SAIDA `À DIREITA` 380x180</v>
      </c>
      <c r="G100" s="192"/>
      <c r="H100" s="192"/>
      <c r="I100" s="192"/>
      <c r="J100" s="192"/>
      <c r="K100" s="187">
        <f>CRONOGRAMA!K190</f>
        <v>1982.7801070768667</v>
      </c>
      <c r="L100" s="186">
        <f t="shared" si="4"/>
        <v>3184562.2644860134</v>
      </c>
      <c r="M100" s="188">
        <f t="shared" si="3"/>
        <v>0.95813608877456413</v>
      </c>
      <c r="N100" s="189">
        <v>96</v>
      </c>
    </row>
    <row r="101" spans="2:14" ht="43.2">
      <c r="B101" s="723"/>
      <c r="C101" s="207" t="str">
        <f>CRONOGRAMA!C194</f>
        <v>PORTA CORTA FOGO</v>
      </c>
      <c r="D101" s="214" t="str">
        <f>CRONOGRAMA!D194</f>
        <v>9.1</v>
      </c>
      <c r="E101" s="185">
        <f>CRONOGRAMA!E194</f>
        <v>189</v>
      </c>
      <c r="F101" s="221" t="str">
        <f>CRONOGRAMA!F194</f>
        <v>PORTA CORTA FOGO COM TRRF 60MIN FORNECIMENTO E INSTALAÇÃO 90X210X5</v>
      </c>
      <c r="G101" s="186"/>
      <c r="H101" s="186"/>
      <c r="I101" s="186"/>
      <c r="J101" s="186"/>
      <c r="K101" s="187">
        <f>CRONOGRAMA!K194</f>
        <v>4100.6024152688551</v>
      </c>
      <c r="L101" s="186">
        <f t="shared" si="4"/>
        <v>3188662.8669012822</v>
      </c>
      <c r="M101" s="188">
        <f t="shared" ref="M101:M132" si="5">L101/$K$208</f>
        <v>0.95936983295460432</v>
      </c>
      <c r="N101" s="190">
        <v>97</v>
      </c>
    </row>
    <row r="102" spans="2:14">
      <c r="B102" s="723"/>
      <c r="C102" s="207" t="str">
        <f>CRONOGRAMA!C150</f>
        <v>INSTALAÇÃO-CASA DE BOMBAS</v>
      </c>
      <c r="D102" s="214" t="str">
        <f>CRONOGRAMA!D150</f>
        <v>4.8</v>
      </c>
      <c r="E102" s="185">
        <f>CRONOGRAMA!E150</f>
        <v>145</v>
      </c>
      <c r="F102" s="221" t="str">
        <f>CRONOGRAMA!F150</f>
        <v>WasteCone 6"x8"</v>
      </c>
      <c r="G102" s="186">
        <v>228.55853999999999</v>
      </c>
      <c r="H102" s="186">
        <v>175.15197000000001</v>
      </c>
      <c r="I102" s="186">
        <v>51.061759518456064</v>
      </c>
      <c r="J102" s="186">
        <v>66.631287135219893</v>
      </c>
      <c r="K102" s="187">
        <f>CRONOGRAMA!K150</f>
        <v>5628.5837398220128</v>
      </c>
      <c r="L102" s="186">
        <f t="shared" si="4"/>
        <v>3194291.450641104</v>
      </c>
      <c r="M102" s="188">
        <f t="shared" si="5"/>
        <v>0.9610632993596907</v>
      </c>
      <c r="N102" s="191">
        <v>98</v>
      </c>
    </row>
    <row r="103" spans="2:14" ht="28.8">
      <c r="B103" s="723"/>
      <c r="C103" s="207" t="str">
        <f>CRONOGRAMA!C171</f>
        <v>INSTALAÇÃO-SISTEMA DE ALARME DE INCÊNDIO</v>
      </c>
      <c r="D103" s="214" t="str">
        <f>CRONOGRAMA!D171</f>
        <v>5.3</v>
      </c>
      <c r="E103" s="185">
        <f>CRONOGRAMA!E171</f>
        <v>166</v>
      </c>
      <c r="F103" s="221" t="str">
        <f>CRONOGRAMA!F171</f>
        <v>ACIONADOR MANUAL END. AME520 - INTELBRAS OU SIMILAR</v>
      </c>
      <c r="G103" s="186">
        <v>237.67232000000001</v>
      </c>
      <c r="H103" s="186">
        <v>302.91408000000001</v>
      </c>
      <c r="I103" s="186">
        <v>88.308032776989961</v>
      </c>
      <c r="J103" s="186">
        <v>69.288212105370761</v>
      </c>
      <c r="K103" s="187">
        <f>CRONOGRAMA!K171</f>
        <v>3830.9313021009375</v>
      </c>
      <c r="L103" s="186">
        <f t="shared" si="4"/>
        <v>3198122.3819432049</v>
      </c>
      <c r="M103" s="188">
        <f t="shared" si="5"/>
        <v>0.9622159078594813</v>
      </c>
      <c r="N103" s="191">
        <v>99</v>
      </c>
    </row>
    <row r="104" spans="2:14">
      <c r="B104" s="723"/>
      <c r="C104" s="207" t="str">
        <f>CRONOGRAMA!C38</f>
        <v>INSTALAÇÃO-SISTEMA DE CHUVEIROS AUTOMÁTICOS VGA-1</v>
      </c>
      <c r="D104" s="214" t="str">
        <f>CRONOGRAMA!D38</f>
        <v>2.24</v>
      </c>
      <c r="E104" s="185">
        <f>CRONOGRAMA!E38</f>
        <v>33</v>
      </c>
      <c r="F104" s="221" t="str">
        <f>CRONOGRAMA!F38</f>
        <v>TE DE REDUCAO  DE 4" X 2.1/2"</v>
      </c>
      <c r="G104" s="186">
        <v>29468.135579999998</v>
      </c>
      <c r="H104" s="186">
        <v>19051.67628</v>
      </c>
      <c r="I104" s="186">
        <v>5554.1031747049919</v>
      </c>
      <c r="J104" s="186">
        <v>8590.7960523836446</v>
      </c>
      <c r="K104" s="187">
        <f>CRONOGRAMA!K38</f>
        <v>5574.0915950356848</v>
      </c>
      <c r="L104" s="186">
        <f t="shared" si="4"/>
        <v>3203696.4735382404</v>
      </c>
      <c r="M104" s="188">
        <f t="shared" si="5"/>
        <v>0.96389297926703332</v>
      </c>
      <c r="N104" s="189">
        <v>100</v>
      </c>
    </row>
    <row r="105" spans="2:14" ht="43.2">
      <c r="B105" s="723"/>
      <c r="C105" s="207" t="str">
        <f>CRONOGRAMA!C11</f>
        <v>INSTALAÇÃO-SISTEMA DE HIDRANTES</v>
      </c>
      <c r="D105" s="214" t="str">
        <f>CRONOGRAMA!D11</f>
        <v>1.8</v>
      </c>
      <c r="E105" s="185">
        <f>CRONOGRAMA!E11</f>
        <v>6</v>
      </c>
      <c r="F105" s="221" t="str">
        <f>CRONOGRAMA!F11</f>
        <v>LUVA REDUCAO ACO GALVANIZADO 4X2.1/2" - FORNECIMENTO E INSTALACAO</v>
      </c>
      <c r="G105" s="186">
        <v>141029.65205</v>
      </c>
      <c r="H105" s="186">
        <v>38728.608974999996</v>
      </c>
      <c r="I105" s="186">
        <v>11290.48630150017</v>
      </c>
      <c r="J105" s="186">
        <v>41114.137499844473</v>
      </c>
      <c r="K105" s="187">
        <f>CRONOGRAMA!K11</f>
        <v>4058.5879658040903</v>
      </c>
      <c r="L105" s="186">
        <f t="shared" si="4"/>
        <v>3207755.0615040446</v>
      </c>
      <c r="M105" s="188">
        <f t="shared" si="5"/>
        <v>0.96511408260135001</v>
      </c>
      <c r="N105" s="190">
        <v>101</v>
      </c>
    </row>
    <row r="106" spans="2:14">
      <c r="B106" s="723"/>
      <c r="C106" s="207" t="str">
        <f>CRONOGRAMA!C67</f>
        <v>INSTALAÇÃO-SISTEMA DE CHUVEIROS AUTOMÁTICOS VGA-2</v>
      </c>
      <c r="D106" s="214" t="str">
        <f>CRONOGRAMA!D67</f>
        <v>2.24</v>
      </c>
      <c r="E106" s="185">
        <f>CRONOGRAMA!E67</f>
        <v>62</v>
      </c>
      <c r="F106" s="221" t="str">
        <f>CRONOGRAMA!F67</f>
        <v>TE DE REDUCAO  DE 4" X 2.1/2"</v>
      </c>
      <c r="G106" s="186">
        <v>8528.4317200000005</v>
      </c>
      <c r="H106" s="186">
        <v>16074.370620000002</v>
      </c>
      <c r="I106" s="186">
        <v>4686.1342582043217</v>
      </c>
      <c r="J106" s="186">
        <v>2486.2793696023668</v>
      </c>
      <c r="K106" s="187">
        <f>CRONOGRAMA!K67</f>
        <v>5400.4438817946975</v>
      </c>
      <c r="L106" s="186">
        <f t="shared" si="4"/>
        <v>3213155.5053858394</v>
      </c>
      <c r="M106" s="188">
        <f t="shared" si="5"/>
        <v>0.9667389087937136</v>
      </c>
      <c r="N106" s="191">
        <v>102</v>
      </c>
    </row>
    <row r="107" spans="2:14" ht="43.2">
      <c r="B107" s="723"/>
      <c r="C107" s="207" t="str">
        <f>CRONOGRAMA!C200</f>
        <v>TREINAMENTO</v>
      </c>
      <c r="D107" s="214" t="str">
        <f>CRONOGRAMA!D200</f>
        <v>T1</v>
      </c>
      <c r="E107" s="185">
        <f>CRONOGRAMA!E200</f>
        <v>195</v>
      </c>
      <c r="F107" s="221" t="str">
        <f>CRONOGRAMA!F200</f>
        <v>TREINAMENTO DE FORMAÇÃO DE BRIGADA DE INCÊNDIO NÍVEL AVANÇADO</v>
      </c>
      <c r="G107" s="186"/>
      <c r="H107" s="186"/>
      <c r="I107" s="186"/>
      <c r="J107" s="186"/>
      <c r="K107" s="187">
        <f>CRONOGRAMA!K200</f>
        <v>3195.1377408447011</v>
      </c>
      <c r="L107" s="186">
        <f t="shared" si="4"/>
        <v>3216350.6431266842</v>
      </c>
      <c r="M107" s="188">
        <f t="shared" si="5"/>
        <v>0.96770022671556721</v>
      </c>
      <c r="N107" s="191">
        <v>103</v>
      </c>
    </row>
    <row r="108" spans="2:14">
      <c r="B108" s="723"/>
      <c r="C108" s="207" t="str">
        <f>CRONOGRAMA!C123</f>
        <v>INSTALAÇÃO-SISTEMA DE CHUVEIROS AUTOMÁTICOS VGA-4</v>
      </c>
      <c r="D108" s="214" t="str">
        <f>CRONOGRAMA!D123</f>
        <v>2.22</v>
      </c>
      <c r="E108" s="185">
        <f>CRONOGRAMA!E123</f>
        <v>118</v>
      </c>
      <c r="F108" s="221" t="str">
        <f>CRONOGRAMA!F123</f>
        <v>TE DE REDUCAO  DE 2.1/2" X 2"</v>
      </c>
      <c r="G108" s="186">
        <v>2551.1815799999999</v>
      </c>
      <c r="H108" s="186">
        <v>980.62083000000007</v>
      </c>
      <c r="I108" s="186">
        <v>285.87874290108635</v>
      </c>
      <c r="J108" s="186">
        <v>743.74167944485453</v>
      </c>
      <c r="K108" s="187">
        <f>CRONOGRAMA!K123</f>
        <v>3525.0897700213509</v>
      </c>
      <c r="L108" s="186">
        <f t="shared" si="4"/>
        <v>3219875.7328967056</v>
      </c>
      <c r="M108" s="188">
        <f t="shared" si="5"/>
        <v>0.96876081697705885</v>
      </c>
      <c r="N108" s="189">
        <v>104</v>
      </c>
    </row>
    <row r="109" spans="2:14">
      <c r="B109" s="723"/>
      <c r="C109" s="207" t="str">
        <f>CRONOGRAMA!C96</f>
        <v>INSTALAÇÃO-SISTEMA DE CHUVEIROS AUTOMÁTICOS VGA-3</v>
      </c>
      <c r="D109" s="214" t="str">
        <f>CRONOGRAMA!D96</f>
        <v>2.24</v>
      </c>
      <c r="E109" s="185">
        <f>CRONOGRAMA!E96</f>
        <v>91</v>
      </c>
      <c r="F109" s="221" t="str">
        <f>CRONOGRAMA!F96</f>
        <v>TE DE REDUCAO  DE 4" X 2.1/2"</v>
      </c>
      <c r="G109" s="186">
        <v>1942.5</v>
      </c>
      <c r="H109" s="186">
        <v>234.39000000000001</v>
      </c>
      <c r="I109" s="186">
        <v>68.331322870824224</v>
      </c>
      <c r="J109" s="186">
        <v>566.29376115267735</v>
      </c>
      <c r="K109" s="187">
        <f>CRONOGRAMA!K96</f>
        <v>4549.5700869138618</v>
      </c>
      <c r="L109" s="186">
        <f t="shared" si="4"/>
        <v>3224425.3029836193</v>
      </c>
      <c r="M109" s="188">
        <f t="shared" si="5"/>
        <v>0.97012964161499837</v>
      </c>
      <c r="N109" s="190">
        <v>105</v>
      </c>
    </row>
    <row r="110" spans="2:14" ht="28.8">
      <c r="B110" s="723"/>
      <c r="C110" s="207" t="str">
        <f>CRONOGRAMA!C138</f>
        <v>INSTALAÇÃO-REDE GERAL</v>
      </c>
      <c r="D110" s="214" t="str">
        <f>CRONOGRAMA!D138</f>
        <v>3.3</v>
      </c>
      <c r="E110" s="185">
        <f>CRONOGRAMA!E138</f>
        <v>133</v>
      </c>
      <c r="F110" s="221" t="str">
        <f>CRONOGRAMA!F138</f>
        <v>TE 90 GRAUS EM ACO ,  DN 8"-FORNCECIMENTO E INSTALAÇÃO</v>
      </c>
      <c r="G110" s="186">
        <v>1404.1877199999999</v>
      </c>
      <c r="H110" s="186">
        <v>602.65296000000001</v>
      </c>
      <c r="I110" s="186">
        <v>175.6904048330471</v>
      </c>
      <c r="J110" s="186">
        <v>409.36048665287126</v>
      </c>
      <c r="K110" s="187">
        <f>CRONOGRAMA!K138</f>
        <v>2862.5588662774403</v>
      </c>
      <c r="L110" s="186">
        <f t="shared" si="4"/>
        <v>3227287.8618498966</v>
      </c>
      <c r="M110" s="188">
        <f t="shared" si="5"/>
        <v>0.97099089686084761</v>
      </c>
      <c r="N110" s="191">
        <v>106</v>
      </c>
    </row>
    <row r="111" spans="2:14" ht="28.8">
      <c r="B111" s="723"/>
      <c r="C111" s="207" t="str">
        <f>CRONOGRAMA!C197</f>
        <v>COMISSIONAMENTO</v>
      </c>
      <c r="D111" s="214" t="str">
        <f>CRONOGRAMA!D197</f>
        <v>C2</v>
      </c>
      <c r="E111" s="185">
        <f>CRONOGRAMA!E197</f>
        <v>192</v>
      </c>
      <c r="F111" s="221" t="str">
        <f>CRONOGRAMA!F197</f>
        <v>COMISSIONAMENTO DO SISTEMA DE ALARME</v>
      </c>
      <c r="G111" s="186"/>
      <c r="H111" s="186"/>
      <c r="I111" s="186"/>
      <c r="J111" s="186"/>
      <c r="K111" s="187">
        <f>CRONOGRAMA!K197</f>
        <v>2242.8164189793015</v>
      </c>
      <c r="L111" s="186">
        <f t="shared" si="4"/>
        <v>3229530.6782688759</v>
      </c>
      <c r="M111" s="188">
        <f t="shared" si="5"/>
        <v>0.97166569081149035</v>
      </c>
      <c r="N111" s="191">
        <v>107</v>
      </c>
    </row>
    <row r="112" spans="2:14" ht="86.4">
      <c r="B112" s="723"/>
      <c r="C112" s="207" t="str">
        <f>CRONOGRAMA!C115</f>
        <v>INSTALAÇÃO-SISTEMA DE CHUVEIROS AUTOMÁTICOS VGA-4</v>
      </c>
      <c r="D112" s="214" t="str">
        <f>CRONOGRAMA!D115</f>
        <v>2.14</v>
      </c>
      <c r="E112" s="185">
        <f>CRONOGRAMA!E115</f>
        <v>110</v>
      </c>
      <c r="F112" s="221" t="str">
        <f>CRONOGRAMA!F115</f>
        <v>COTOVELO 90 GRAUS,DE REDUÇÃO EM FERRO GALVANIZADO, CONEXÃO ROSQUEADA, 2"X1.1/2", INSTALADO EM REDE DE ALIMENTAÇÃO PARA SPRINKLER - FORNECIMENTO E INSTALAÇÃO</v>
      </c>
      <c r="G112" s="186">
        <v>0</v>
      </c>
      <c r="H112" s="186">
        <v>1351.84</v>
      </c>
      <c r="I112" s="186">
        <v>394.09964379749562</v>
      </c>
      <c r="J112" s="186">
        <v>0</v>
      </c>
      <c r="K112" s="187">
        <f>CRONOGRAMA!K115</f>
        <v>3100.2273279493265</v>
      </c>
      <c r="L112" s="186">
        <f t="shared" si="4"/>
        <v>3232630.9055968253</v>
      </c>
      <c r="M112" s="188">
        <f t="shared" si="5"/>
        <v>0.97259845313158666</v>
      </c>
      <c r="N112" s="189">
        <v>108</v>
      </c>
    </row>
    <row r="113" spans="2:14" ht="43.2">
      <c r="B113" s="723"/>
      <c r="C113" s="207" t="str">
        <f>CRONOGRAMA!C142</f>
        <v>INSTALAÇÃO-REDE GERAL</v>
      </c>
      <c r="D113" s="214" t="str">
        <f>CRONOGRAMA!D142</f>
        <v>3.7</v>
      </c>
      <c r="E113" s="185">
        <f>CRONOGRAMA!E142</f>
        <v>137</v>
      </c>
      <c r="F113" s="221" t="str">
        <f>CRONOGRAMA!F142</f>
        <v>VALVULA BORBOLETA FLANGEADA C/ CAIXA RED. 6'' -CL 150-FORNCECIMENTO E INSTALAÇÃO</v>
      </c>
      <c r="G113" s="186">
        <v>1868.1999999999998</v>
      </c>
      <c r="H113" s="186">
        <v>444.84000000000003</v>
      </c>
      <c r="I113" s="186">
        <v>129.68345776636139</v>
      </c>
      <c r="J113" s="186">
        <v>544.63320699378721</v>
      </c>
      <c r="K113" s="187">
        <f>CRONOGRAMA!K142</f>
        <v>2000.7323507216659</v>
      </c>
      <c r="L113" s="186">
        <f t="shared" si="4"/>
        <v>3234631.6379475468</v>
      </c>
      <c r="M113" s="188">
        <f t="shared" si="5"/>
        <v>0.97320041148880987</v>
      </c>
      <c r="N113" s="190">
        <v>109</v>
      </c>
    </row>
    <row r="114" spans="2:14" ht="28.8">
      <c r="B114" s="723"/>
      <c r="C114" s="207" t="str">
        <f>CRONOGRAMA!C26</f>
        <v>INSTALAÇÃO-SISTEMA DE CHUVEIROS AUTOMÁTICOS VGA-1</v>
      </c>
      <c r="D114" s="214" t="str">
        <f>CRONOGRAMA!D26</f>
        <v>2.12</v>
      </c>
      <c r="E114" s="185">
        <f>CRONOGRAMA!E26</f>
        <v>21</v>
      </c>
      <c r="F114" s="221" t="str">
        <f>CRONOGRAMA!F26</f>
        <v>COTOVELO DE AÇO GALVANIZADO 4" - FORNECIMENTO E INSTALAÇÃO</v>
      </c>
      <c r="G114" s="186">
        <v>50893.716235</v>
      </c>
      <c r="H114" s="186">
        <v>8735.5705500000022</v>
      </c>
      <c r="I114" s="186">
        <v>2546.6662046713323</v>
      </c>
      <c r="J114" s="186">
        <v>14836.959580826371</v>
      </c>
      <c r="K114" s="187">
        <f>CRONOGRAMA!K26</f>
        <v>3156.5233365463537</v>
      </c>
      <c r="L114" s="186">
        <f t="shared" si="4"/>
        <v>3237788.1612840933</v>
      </c>
      <c r="M114" s="188">
        <f t="shared" si="5"/>
        <v>0.97415011153315567</v>
      </c>
      <c r="N114" s="191">
        <v>110</v>
      </c>
    </row>
    <row r="115" spans="2:14" ht="28.8">
      <c r="B115" s="723"/>
      <c r="C115" s="207" t="str">
        <f>CRONOGRAMA!C55</f>
        <v>INSTALAÇÃO-SISTEMA DE CHUVEIROS AUTOMÁTICOS VGA-2</v>
      </c>
      <c r="D115" s="214" t="str">
        <f>CRONOGRAMA!D55</f>
        <v>2.12</v>
      </c>
      <c r="E115" s="185">
        <f>CRONOGRAMA!E55</f>
        <v>50</v>
      </c>
      <c r="F115" s="221" t="str">
        <f>CRONOGRAMA!F55</f>
        <v>COTOVELO DE AÇO GALVANIZADO 4" - FORNECIMENTO E INSTALAÇÃO</v>
      </c>
      <c r="G115" s="186">
        <v>9053</v>
      </c>
      <c r="H115" s="186">
        <v>158.76</v>
      </c>
      <c r="I115" s="186">
        <v>46.283036046640433</v>
      </c>
      <c r="J115" s="186">
        <v>2639.2058788752574</v>
      </c>
      <c r="K115" s="187">
        <f>CRONOGRAMA!K55</f>
        <v>3058.1892762178068</v>
      </c>
      <c r="L115" s="186">
        <f t="shared" si="4"/>
        <v>3240846.3505603112</v>
      </c>
      <c r="M115" s="188">
        <f t="shared" si="5"/>
        <v>0.97507022590633807</v>
      </c>
      <c r="N115" s="191">
        <v>111</v>
      </c>
    </row>
    <row r="116" spans="2:14" ht="43.2">
      <c r="B116" s="723"/>
      <c r="C116" s="207" t="str">
        <f>CRONOGRAMA!C41</f>
        <v>INSTALAÇÃO-SISTEMA DE CHUVEIROS AUTOMÁTICOS VGA-1</v>
      </c>
      <c r="D116" s="214" t="str">
        <f>CRONOGRAMA!D41</f>
        <v>2.27</v>
      </c>
      <c r="E116" s="185">
        <f>CRONOGRAMA!E41</f>
        <v>36</v>
      </c>
      <c r="F116" s="221" t="str">
        <f>CRONOGRAMA!F41</f>
        <v>BUCHA DE REDUCAO DE FERRO GALVANIZADO, COM ROSCA BSP, DE 1" X 3/4"</v>
      </c>
      <c r="G116" s="186">
        <v>17404.469399999998</v>
      </c>
      <c r="H116" s="186">
        <v>26859.254939999999</v>
      </c>
      <c r="I116" s="186">
        <v>7830.2334629246989</v>
      </c>
      <c r="J116" s="186">
        <v>5073.8957206654723</v>
      </c>
      <c r="K116" s="187">
        <f>CRONOGRAMA!K41</f>
        <v>2727.8912415673294</v>
      </c>
      <c r="L116" s="186">
        <f t="shared" si="4"/>
        <v>3243574.2418018784</v>
      </c>
      <c r="M116" s="188">
        <f t="shared" si="5"/>
        <v>0.97589096383755869</v>
      </c>
      <c r="N116" s="189">
        <v>112</v>
      </c>
    </row>
    <row r="117" spans="2:14" ht="43.2">
      <c r="B117" s="723"/>
      <c r="C117" s="207" t="str">
        <f>CRONOGRAMA!C70</f>
        <v>INSTALAÇÃO-SISTEMA DE CHUVEIROS AUTOMÁTICOS VGA-2</v>
      </c>
      <c r="D117" s="214" t="str">
        <f>CRONOGRAMA!D70</f>
        <v>2.27</v>
      </c>
      <c r="E117" s="185">
        <f>CRONOGRAMA!E70</f>
        <v>65</v>
      </c>
      <c r="F117" s="221" t="str">
        <f>CRONOGRAMA!F70</f>
        <v>BUCHA DE REDUCAO DE FERRO GALVANIZADO, COM ROSCA BSP, DE 1" X 3/4"</v>
      </c>
      <c r="G117" s="186">
        <v>15675</v>
      </c>
      <c r="H117" s="186">
        <v>3741.3778499999999</v>
      </c>
      <c r="I117" s="186">
        <v>1090.7175982341403</v>
      </c>
      <c r="J117" s="186">
        <v>4569.7064123903301</v>
      </c>
      <c r="K117" s="187">
        <f>CRONOGRAMA!K70</f>
        <v>2642.9102060044843</v>
      </c>
      <c r="L117" s="186">
        <f t="shared" si="4"/>
        <v>3246217.1520078829</v>
      </c>
      <c r="M117" s="188">
        <f t="shared" si="5"/>
        <v>0.97668613360892831</v>
      </c>
      <c r="N117" s="190">
        <v>113</v>
      </c>
    </row>
    <row r="118" spans="2:14" ht="28.8">
      <c r="B118" s="723"/>
      <c r="C118" s="207" t="str">
        <f>CRONOGRAMA!C196</f>
        <v>COMISSIONAMENTO</v>
      </c>
      <c r="D118" s="214" t="str">
        <f>CRONOGRAMA!D196</f>
        <v>C3</v>
      </c>
      <c r="E118" s="185">
        <f>CRONOGRAMA!E196</f>
        <v>191</v>
      </c>
      <c r="F118" s="221" t="str">
        <f>CRONOGRAMA!F196</f>
        <v>COMISSIONAMENTO DO SISTEMA DE CHUVEIROS AUTOMÁTICOS</v>
      </c>
      <c r="G118" s="186"/>
      <c r="H118" s="186"/>
      <c r="I118" s="186"/>
      <c r="J118" s="186"/>
      <c r="K118" s="187">
        <f>CRONOGRAMA!K196</f>
        <v>2223.391833049965</v>
      </c>
      <c r="L118" s="186">
        <f t="shared" si="4"/>
        <v>3248440.5438409331</v>
      </c>
      <c r="M118" s="188">
        <f t="shared" si="5"/>
        <v>0.97735508330367571</v>
      </c>
      <c r="N118" s="191">
        <v>114</v>
      </c>
    </row>
    <row r="119" spans="2:14" ht="57.6">
      <c r="B119" s="723"/>
      <c r="C119" s="207" t="str">
        <f>CRONOGRAMA!C178</f>
        <v>INSTALAÇÃO-EXTINTOR DE INCÊNDIO</v>
      </c>
      <c r="D119" s="214" t="str">
        <f>CRONOGRAMA!D178</f>
        <v>6.2</v>
      </c>
      <c r="E119" s="185">
        <f>CRONOGRAMA!E178</f>
        <v>173</v>
      </c>
      <c r="F119" s="221" t="str">
        <f>CRONOGRAMA!F178</f>
        <v>EXTINTOR INCENDIO AGUA-PRESSURIZADA 10L INCL SUPORTE PAREDE CARGA     COMPLETA FORNECIMENTO E COLOCAÇÃO</v>
      </c>
      <c r="G119" s="186">
        <v>47.67</v>
      </c>
      <c r="H119" s="186">
        <v>41.18</v>
      </c>
      <c r="I119" s="186">
        <v>12.005136208116989</v>
      </c>
      <c r="J119" s="186">
        <v>13.89715500342246</v>
      </c>
      <c r="K119" s="187">
        <f>CRONOGRAMA!K178</f>
        <v>2635.6218421540643</v>
      </c>
      <c r="L119" s="186">
        <f t="shared" si="4"/>
        <v>3251076.165683087</v>
      </c>
      <c r="M119" s="188">
        <f t="shared" si="5"/>
        <v>0.9781480602322451</v>
      </c>
      <c r="N119" s="191">
        <v>115</v>
      </c>
    </row>
    <row r="120" spans="2:14" ht="86.4">
      <c r="B120" s="723"/>
      <c r="C120" s="207" t="str">
        <f>CRONOGRAMA!C9</f>
        <v>INSTALAÇÃO-SISTEMA DE HIDRANTES</v>
      </c>
      <c r="D120" s="214" t="str">
        <f>CRONOGRAMA!D9</f>
        <v>1.6</v>
      </c>
      <c r="E120" s="185">
        <f>CRONOGRAMA!E9</f>
        <v>4</v>
      </c>
      <c r="F120" s="221" t="str">
        <f>CRONOGRAMA!F9</f>
        <v>JOELHO 90 GRAUS, EM FERRO GALVANIZADO, DN 65 (2 1/2"), CONEXÃO ROSQUEADA, INSTALADO EM REDE DE ALIMENTAÇÃO PARA HIDRANTE - FORNECIMENTO E INSTALAÇÃO. AF_10/2020</v>
      </c>
      <c r="G120" s="186">
        <v>54920.677629999998</v>
      </c>
      <c r="H120" s="186">
        <v>17596.640879999995</v>
      </c>
      <c r="I120" s="186">
        <v>5129.9191493375311</v>
      </c>
      <c r="J120" s="186">
        <v>16010.93287008824</v>
      </c>
      <c r="K120" s="187">
        <f>CRONOGRAMA!K9</f>
        <v>2658.817277488065</v>
      </c>
      <c r="L120" s="186">
        <f t="shared" si="4"/>
        <v>3253734.9829605748</v>
      </c>
      <c r="M120" s="188">
        <f t="shared" si="5"/>
        <v>0.97894801594842873</v>
      </c>
      <c r="N120" s="189">
        <v>116</v>
      </c>
    </row>
    <row r="121" spans="2:14" ht="28.8">
      <c r="B121" s="723"/>
      <c r="C121" s="207" t="str">
        <f>CRONOGRAMA!C188</f>
        <v>INSTALAÇÃO-SISTEMA DE SINALIZAÇÃO DE EMERGÊNCIA</v>
      </c>
      <c r="D121" s="214" t="str">
        <f>CRONOGRAMA!D188</f>
        <v>7.5</v>
      </c>
      <c r="E121" s="185">
        <f>CRONOGRAMA!E188</f>
        <v>183</v>
      </c>
      <c r="F121" s="221" t="str">
        <f>CRONOGRAMA!F188</f>
        <v>SINAL FOT. E5 EXTINTOR DE INCENDIO 200x200</v>
      </c>
      <c r="G121" s="186">
        <v>0</v>
      </c>
      <c r="H121" s="186">
        <v>0</v>
      </c>
      <c r="I121" s="186">
        <v>0</v>
      </c>
      <c r="J121" s="186">
        <v>0</v>
      </c>
      <c r="K121" s="187">
        <f>CRONOGRAMA!K188</f>
        <v>1920.28305168321</v>
      </c>
      <c r="L121" s="186">
        <f t="shared" si="4"/>
        <v>3255655.2660122579</v>
      </c>
      <c r="M121" s="188">
        <f t="shared" si="5"/>
        <v>0.97952576960487259</v>
      </c>
      <c r="N121" s="190">
        <v>117</v>
      </c>
    </row>
    <row r="122" spans="2:14" ht="28.8">
      <c r="B122" s="723"/>
      <c r="C122" s="207" t="str">
        <f>CRONOGRAMA!C169</f>
        <v>INSTALAÇÃO-SISTEMA DE ALARME DE INCÊNDIO</v>
      </c>
      <c r="D122" s="214" t="str">
        <f>CRONOGRAMA!D169</f>
        <v>5.1</v>
      </c>
      <c r="E122" s="185">
        <f>CRONOGRAMA!E169</f>
        <v>164</v>
      </c>
      <c r="F122" s="221" t="str">
        <f>CRONOGRAMA!F169</f>
        <v>CENTRAL DE ALARME END. CIE 1-125 - INTELBRAS OU SIMILAR</v>
      </c>
      <c r="G122" s="186">
        <v>114</v>
      </c>
      <c r="H122" s="186">
        <v>54.09</v>
      </c>
      <c r="I122" s="186">
        <v>15.76876681634405</v>
      </c>
      <c r="J122" s="186">
        <v>33.23422845374786</v>
      </c>
      <c r="K122" s="187">
        <f>CRONOGRAMA!K169</f>
        <v>2890.5307866270127</v>
      </c>
      <c r="L122" s="186">
        <f t="shared" si="4"/>
        <v>3258545.7967988849</v>
      </c>
      <c r="M122" s="188">
        <f t="shared" si="5"/>
        <v>0.98039544073464346</v>
      </c>
      <c r="N122" s="191">
        <v>118</v>
      </c>
    </row>
    <row r="123" spans="2:14" ht="28.8">
      <c r="B123" s="723"/>
      <c r="C123" s="207" t="str">
        <f>CRONOGRAMA!C84</f>
        <v>INSTALAÇÃO-SISTEMA DE CHUVEIROS AUTOMÁTICOS VGA-3</v>
      </c>
      <c r="D123" s="214" t="str">
        <f>CRONOGRAMA!D84</f>
        <v>2.12</v>
      </c>
      <c r="E123" s="185">
        <f>CRONOGRAMA!E84</f>
        <v>79</v>
      </c>
      <c r="F123" s="221" t="str">
        <f>CRONOGRAMA!F84</f>
        <v>COTOVELO DE AÇO GALVANIZADO 4" - FORNECIMENTO E INSTALAÇÃO</v>
      </c>
      <c r="G123" s="186">
        <v>31238.503400000001</v>
      </c>
      <c r="H123" s="186">
        <v>4112.2808999999997</v>
      </c>
      <c r="I123" s="186">
        <v>1198.8463411981038</v>
      </c>
      <c r="J123" s="186">
        <v>9106.9084083226244</v>
      </c>
      <c r="K123" s="187">
        <f>CRONOGRAMA!K84</f>
        <v>2576.3523806079274</v>
      </c>
      <c r="L123" s="186">
        <f t="shared" si="4"/>
        <v>3261122.1491794926</v>
      </c>
      <c r="M123" s="188">
        <f t="shared" si="5"/>
        <v>0.98117058531912493</v>
      </c>
      <c r="N123" s="191">
        <v>119</v>
      </c>
    </row>
    <row r="124" spans="2:14">
      <c r="B124" s="723"/>
      <c r="C124" s="207" t="str">
        <f>CRONOGRAMA!C175</f>
        <v>INSTALAÇÃO-SISTEMA DE ALARME DE INCÊNDIO</v>
      </c>
      <c r="D124" s="214" t="str">
        <f>CRONOGRAMA!D175</f>
        <v>5.7</v>
      </c>
      <c r="E124" s="185">
        <f>CRONOGRAMA!E175</f>
        <v>170</v>
      </c>
      <c r="F124" s="221" t="str">
        <f>CRONOGRAMA!F175</f>
        <v>SIRENE VIP STROBE - L24 VERMELHA</v>
      </c>
      <c r="G124" s="186">
        <v>986.01</v>
      </c>
      <c r="H124" s="186">
        <v>80.88</v>
      </c>
      <c r="I124" s="186">
        <v>23.578810502974793</v>
      </c>
      <c r="J124" s="186">
        <v>287.44983857613971</v>
      </c>
      <c r="K124" s="187">
        <f>CRONOGRAMA!K175</f>
        <v>2644.5850486932654</v>
      </c>
      <c r="L124" s="186">
        <f t="shared" si="4"/>
        <v>3263766.7342281858</v>
      </c>
      <c r="M124" s="188">
        <f t="shared" si="5"/>
        <v>0.98196625899875245</v>
      </c>
      <c r="N124" s="189">
        <v>120</v>
      </c>
    </row>
    <row r="125" spans="2:14" ht="43.2">
      <c r="B125" s="723"/>
      <c r="C125" s="207" t="str">
        <f>CRONOGRAMA!C99</f>
        <v>INSTALAÇÃO-SISTEMA DE CHUVEIROS AUTOMÁTICOS VGA-3</v>
      </c>
      <c r="D125" s="214" t="str">
        <f>CRONOGRAMA!D99</f>
        <v>2.27</v>
      </c>
      <c r="E125" s="185">
        <f>CRONOGRAMA!E99</f>
        <v>94</v>
      </c>
      <c r="F125" s="221" t="str">
        <f>CRONOGRAMA!F99</f>
        <v>BUCHA DE REDUCAO DE FERRO GALVANIZADO, COM ROSCA BSP, DE 1" X 3/4"</v>
      </c>
      <c r="G125" s="186">
        <v>1950</v>
      </c>
      <c r="H125" s="186">
        <v>79.38</v>
      </c>
      <c r="I125" s="186">
        <v>23.141518023320216</v>
      </c>
      <c r="J125" s="186">
        <v>568.4802235509502</v>
      </c>
      <c r="K125" s="187">
        <f>CRONOGRAMA!K99</f>
        <v>2226.5031317465432</v>
      </c>
      <c r="L125" s="186">
        <f t="shared" si="4"/>
        <v>3265993.2373599322</v>
      </c>
      <c r="M125" s="188">
        <f t="shared" si="5"/>
        <v>0.98263614478685157</v>
      </c>
      <c r="N125" s="190">
        <v>121</v>
      </c>
    </row>
    <row r="126" spans="2:14">
      <c r="B126" s="723"/>
      <c r="C126" s="207" t="str">
        <f>CRONOGRAMA!C35</f>
        <v>INSTALAÇÃO-SISTEMA DE CHUVEIROS AUTOMÁTICOS VGA-1</v>
      </c>
      <c r="D126" s="214" t="str">
        <f>CRONOGRAMA!D35</f>
        <v>2.21</v>
      </c>
      <c r="E126" s="185">
        <f>CRONOGRAMA!E35</f>
        <v>30</v>
      </c>
      <c r="F126" s="221" t="str">
        <f>CRONOGRAMA!F35</f>
        <v>TE DE REDUCAO   2.1/2"X1"</v>
      </c>
      <c r="G126" s="186">
        <v>29468.135579999998</v>
      </c>
      <c r="H126" s="186">
        <v>19051.67628</v>
      </c>
      <c r="I126" s="186">
        <v>5554.1031747049919</v>
      </c>
      <c r="J126" s="186">
        <v>8590.7960523836446</v>
      </c>
      <c r="K126" s="187">
        <f>CRONOGRAMA!K35</f>
        <v>2397.9687703594664</v>
      </c>
      <c r="L126" s="186">
        <f t="shared" si="4"/>
        <v>3268391.2061302918</v>
      </c>
      <c r="M126" s="188">
        <f t="shared" si="5"/>
        <v>0.983357619271511</v>
      </c>
      <c r="N126" s="191">
        <v>122</v>
      </c>
    </row>
    <row r="127" spans="2:14">
      <c r="B127" s="723"/>
      <c r="C127" s="207" t="str">
        <f>CRONOGRAMA!C64</f>
        <v>INSTALAÇÃO-SISTEMA DE CHUVEIROS AUTOMÁTICOS VGA-2</v>
      </c>
      <c r="D127" s="214" t="str">
        <f>CRONOGRAMA!D64</f>
        <v>2.21</v>
      </c>
      <c r="E127" s="185">
        <f>CRONOGRAMA!E64</f>
        <v>59</v>
      </c>
      <c r="F127" s="221" t="str">
        <f>CRONOGRAMA!F64</f>
        <v>TE DE REDUCAO   2.1/2"X1"</v>
      </c>
      <c r="G127" s="186">
        <v>9165.5885999999991</v>
      </c>
      <c r="H127" s="186">
        <v>16554.460859999999</v>
      </c>
      <c r="I127" s="186">
        <v>4826.0941592093614</v>
      </c>
      <c r="J127" s="186">
        <v>2672.028644258482</v>
      </c>
      <c r="K127" s="187">
        <f>CRONOGRAMA!K64</f>
        <v>2323.2656934012275</v>
      </c>
      <c r="L127" s="186">
        <f t="shared" si="4"/>
        <v>3270714.4718236933</v>
      </c>
      <c r="M127" s="188">
        <f t="shared" si="5"/>
        <v>0.9840566179155269</v>
      </c>
      <c r="N127" s="191">
        <v>123</v>
      </c>
    </row>
    <row r="128" spans="2:14">
      <c r="B128" s="723"/>
      <c r="C128" s="207" t="str">
        <f>CRONOGRAMA!C152</f>
        <v>INSTALAÇÃO-CASA DE BOMBAS</v>
      </c>
      <c r="D128" s="214" t="str">
        <f>CRONOGRAMA!D152</f>
        <v>4.10</v>
      </c>
      <c r="E128" s="185">
        <f>CRONOGRAMA!E152</f>
        <v>147</v>
      </c>
      <c r="F128" s="221" t="str">
        <f>CRONOGRAMA!F152</f>
        <v>JUNTA DE EXPANSÃO 8"</v>
      </c>
      <c r="G128" s="186">
        <v>2551.1815799999999</v>
      </c>
      <c r="H128" s="186">
        <v>980.62083000000007</v>
      </c>
      <c r="I128" s="186">
        <v>285.87874290108635</v>
      </c>
      <c r="J128" s="186">
        <v>743.74167944485453</v>
      </c>
      <c r="K128" s="187">
        <f>CRONOGRAMA!K152</f>
        <v>1875.0149840752813</v>
      </c>
      <c r="L128" s="186">
        <f t="shared" si="4"/>
        <v>3272589.4868077687</v>
      </c>
      <c r="M128" s="188">
        <f t="shared" si="5"/>
        <v>0.98462075181338482</v>
      </c>
      <c r="N128" s="189">
        <v>124</v>
      </c>
    </row>
    <row r="129" spans="2:14" ht="28.8">
      <c r="B129" s="723"/>
      <c r="C129" s="207" t="str">
        <f>CRONOGRAMA!C182</f>
        <v>INSTALAÇÃO-EXTINTOR DE INCÊNDIO</v>
      </c>
      <c r="D129" s="214" t="str">
        <f>CRONOGRAMA!D182</f>
        <v>6.6</v>
      </c>
      <c r="E129" s="185">
        <f>CRONOGRAMA!E182</f>
        <v>177</v>
      </c>
      <c r="F129" s="221" t="str">
        <f>CRONOGRAMA!F182</f>
        <v>MANUTENÇÃO DE 3° NÍVEL E RECARGA DE EXTINTOR PORT PQS 4KG</v>
      </c>
      <c r="G129" s="186">
        <v>20.45</v>
      </c>
      <c r="H129" s="186">
        <v>39.69</v>
      </c>
      <c r="I129" s="186">
        <v>11.570759011660108</v>
      </c>
      <c r="J129" s="186">
        <v>5.9617541392907336</v>
      </c>
      <c r="K129" s="187">
        <f>CRONOGRAMA!K182</f>
        <v>1717.7326652937249</v>
      </c>
      <c r="L129" s="186">
        <f t="shared" si="4"/>
        <v>3274307.2194730625</v>
      </c>
      <c r="M129" s="188">
        <f t="shared" si="5"/>
        <v>0.98513756433604727</v>
      </c>
      <c r="N129" s="190">
        <v>125</v>
      </c>
    </row>
    <row r="130" spans="2:14">
      <c r="B130" s="723"/>
      <c r="C130" s="207" t="str">
        <f>CRONOGRAMA!C93</f>
        <v>INSTALAÇÃO-SISTEMA DE CHUVEIROS AUTOMÁTICOS VGA-3</v>
      </c>
      <c r="D130" s="214" t="str">
        <f>CRONOGRAMA!D93</f>
        <v>2.21</v>
      </c>
      <c r="E130" s="185">
        <f>CRONOGRAMA!E93</f>
        <v>88</v>
      </c>
      <c r="F130" s="221" t="str">
        <f>CRONOGRAMA!F93</f>
        <v>TE DE REDUCAO   2.1/2"X1"</v>
      </c>
      <c r="G130" s="186">
        <v>8528.4317200000005</v>
      </c>
      <c r="H130" s="186">
        <v>16074.370620000002</v>
      </c>
      <c r="I130" s="186">
        <v>4686.1342582043217</v>
      </c>
      <c r="J130" s="186">
        <v>2486.2793696023668</v>
      </c>
      <c r="K130" s="187">
        <f>CRONOGRAMA!K93</f>
        <v>1957.2206163058572</v>
      </c>
      <c r="L130" s="186">
        <f t="shared" si="4"/>
        <v>3276264.4400893683</v>
      </c>
      <c r="M130" s="188">
        <f t="shared" si="5"/>
        <v>0.98572643136090943</v>
      </c>
      <c r="N130" s="191">
        <v>126</v>
      </c>
    </row>
    <row r="131" spans="2:14" ht="28.8">
      <c r="B131" s="723"/>
      <c r="C131" s="207" t="str">
        <f>CRONOGRAMA!C180</f>
        <v>INSTALAÇÃO-EXTINTOR DE INCÊNDIO</v>
      </c>
      <c r="D131" s="214" t="str">
        <f>CRONOGRAMA!D180</f>
        <v>6.4</v>
      </c>
      <c r="E131" s="185">
        <f>CRONOGRAMA!E180</f>
        <v>175</v>
      </c>
      <c r="F131" s="221" t="str">
        <f>CRONOGRAMA!F180</f>
        <v>EXTINTOR SOBRE RODAS PQS 20KG-30BC</v>
      </c>
      <c r="G131" s="186">
        <v>39</v>
      </c>
      <c r="H131" s="186">
        <v>36.06</v>
      </c>
      <c r="I131" s="186">
        <v>10.512511210896033</v>
      </c>
      <c r="J131" s="186">
        <v>11.369604471019004</v>
      </c>
      <c r="K131" s="187">
        <f>CRONOGRAMA!K180</f>
        <v>2453.9038075624644</v>
      </c>
      <c r="L131" s="186">
        <f t="shared" si="4"/>
        <v>3278718.3438969306</v>
      </c>
      <c r="M131" s="188">
        <f t="shared" si="5"/>
        <v>0.98646473496471299</v>
      </c>
      <c r="N131" s="191">
        <v>127</v>
      </c>
    </row>
    <row r="132" spans="2:14" ht="28.8">
      <c r="B132" s="723"/>
      <c r="C132" s="207" t="str">
        <f>CRONOGRAMA!C31</f>
        <v>INSTALAÇÃO-SISTEMA DE CHUVEIROS AUTOMÁTICOS VGA-1</v>
      </c>
      <c r="D132" s="214" t="str">
        <f>CRONOGRAMA!D31</f>
        <v>2.17</v>
      </c>
      <c r="E132" s="185">
        <f>CRONOGRAMA!E31</f>
        <v>26</v>
      </c>
      <c r="F132" s="221" t="str">
        <f>CRONOGRAMA!F31</f>
        <v>COTOVELO 90 GRAUS AÇO GALVANIZADO , REDUÇÃO 4" X 2.1/2"</v>
      </c>
      <c r="G132" s="186">
        <v>116874.96966</v>
      </c>
      <c r="H132" s="186">
        <v>43182.402479999997</v>
      </c>
      <c r="I132" s="186">
        <v>12588.893238614104</v>
      </c>
      <c r="J132" s="186">
        <v>34072.363528116577</v>
      </c>
      <c r="K132" s="187">
        <f>CRONOGRAMA!K31</f>
        <v>1851.4021370430646</v>
      </c>
      <c r="L132" s="186">
        <f t="shared" si="4"/>
        <v>3280569.7460339735</v>
      </c>
      <c r="M132" s="188">
        <f t="shared" si="5"/>
        <v>0.98702176448871304</v>
      </c>
      <c r="N132" s="189">
        <v>128</v>
      </c>
    </row>
    <row r="133" spans="2:14" ht="28.8">
      <c r="B133" s="723"/>
      <c r="C133" s="207" t="str">
        <f>CRONOGRAMA!C60</f>
        <v>INSTALAÇÃO-SISTEMA DE CHUVEIROS AUTOMÁTICOS VGA-2</v>
      </c>
      <c r="D133" s="214" t="str">
        <f>CRONOGRAMA!D60</f>
        <v>2.17</v>
      </c>
      <c r="E133" s="185">
        <f>CRONOGRAMA!E60</f>
        <v>55</v>
      </c>
      <c r="F133" s="221" t="str">
        <f>CRONOGRAMA!F60</f>
        <v>COTOVELO 90 GRAUS AÇO GALVANIZADO , REDUÇÃO 4" X 2.1/2"</v>
      </c>
      <c r="G133" s="186">
        <v>8528.4317200000005</v>
      </c>
      <c r="H133" s="186">
        <v>16074.370620000002</v>
      </c>
      <c r="I133" s="186">
        <v>4686.1342582043217</v>
      </c>
      <c r="J133" s="186">
        <v>2486.2793696023668</v>
      </c>
      <c r="K133" s="187">
        <f>CRONOGRAMA!K60</f>
        <v>1793.7260580074551</v>
      </c>
      <c r="L133" s="186">
        <f t="shared" si="4"/>
        <v>3282363.4720919812</v>
      </c>
      <c r="M133" s="188">
        <f t="shared" ref="M133:M164" si="6">L133/$K$208</f>
        <v>0.98756144106804034</v>
      </c>
      <c r="N133" s="190">
        <v>129</v>
      </c>
    </row>
    <row r="134" spans="2:14" ht="28.8">
      <c r="B134" s="723"/>
      <c r="C134" s="207" t="str">
        <f>CRONOGRAMA!C29</f>
        <v>INSTALAÇÃO-SISTEMA DE CHUVEIROS AUTOMÁTICOS VGA-1</v>
      </c>
      <c r="D134" s="214" t="str">
        <f>CRONOGRAMA!D29</f>
        <v>2.15</v>
      </c>
      <c r="E134" s="185">
        <f>CRONOGRAMA!E29</f>
        <v>24</v>
      </c>
      <c r="F134" s="221" t="str">
        <f>CRONOGRAMA!F29</f>
        <v>COTOVELO 90 GRAUS AÇO GALVANIZADO , REDUÇÃO 2.1/2" X 2"</v>
      </c>
      <c r="G134" s="186">
        <v>50893.716235</v>
      </c>
      <c r="H134" s="186">
        <v>8735.5705500000022</v>
      </c>
      <c r="I134" s="186">
        <v>2546.6662046713323</v>
      </c>
      <c r="J134" s="186">
        <v>14836.959580826371</v>
      </c>
      <c r="K134" s="187">
        <f>CRONOGRAMA!K29</f>
        <v>1602.5204784123007</v>
      </c>
      <c r="L134" s="186">
        <f t="shared" si="4"/>
        <v>3283965.9925703937</v>
      </c>
      <c r="M134" s="188">
        <f t="shared" si="6"/>
        <v>0.98804358981435003</v>
      </c>
      <c r="N134" s="191">
        <v>130</v>
      </c>
    </row>
    <row r="135" spans="2:14" ht="28.8">
      <c r="B135" s="723"/>
      <c r="C135" s="207" t="str">
        <f>CRONOGRAMA!C58</f>
        <v>INSTALAÇÃO-SISTEMA DE CHUVEIROS AUTOMÁTICOS VGA-2</v>
      </c>
      <c r="D135" s="214" t="str">
        <f>CRONOGRAMA!D58</f>
        <v>2.15</v>
      </c>
      <c r="E135" s="185">
        <f>CRONOGRAMA!E58</f>
        <v>53</v>
      </c>
      <c r="F135" s="221" t="str">
        <f>CRONOGRAMA!F58</f>
        <v>COTOVELO 90 GRAUS AÇO GALVANIZADO , REDUÇÃO 2.1/2" X 2"</v>
      </c>
      <c r="G135" s="186">
        <v>9165.5885999999991</v>
      </c>
      <c r="H135" s="186">
        <v>16554.460859999999</v>
      </c>
      <c r="I135" s="186">
        <v>4826.0941592093614</v>
      </c>
      <c r="J135" s="186">
        <v>2672.028644258482</v>
      </c>
      <c r="K135" s="187">
        <f>CRONOGRAMA!K58</f>
        <v>1552.5977220754689</v>
      </c>
      <c r="L135" s="186">
        <f t="shared" ref="L135:L198" si="7">L134+K135</f>
        <v>3285518.5902924691</v>
      </c>
      <c r="M135" s="188">
        <f t="shared" si="6"/>
        <v>0.98851071835049431</v>
      </c>
      <c r="N135" s="191">
        <v>131</v>
      </c>
    </row>
    <row r="136" spans="2:14" ht="28.8">
      <c r="B136" s="723"/>
      <c r="C136" s="207" t="str">
        <f>CRONOGRAMA!C40</f>
        <v>INSTALAÇÃO-SISTEMA DE CHUVEIROS AUTOMÁTICOS VGA-1</v>
      </c>
      <c r="D136" s="214" t="str">
        <f>CRONOGRAMA!D40</f>
        <v>2.26</v>
      </c>
      <c r="E136" s="185">
        <f>CRONOGRAMA!E40</f>
        <v>35</v>
      </c>
      <c r="F136" s="221" t="str">
        <f>CRONOGRAMA!F40</f>
        <v>TE DE ACO GALVANIZADO 4" - FORNECIMENTO E INSTALACAO</v>
      </c>
      <c r="G136" s="186">
        <v>17404.469399999998</v>
      </c>
      <c r="H136" s="186">
        <v>26859.254939999999</v>
      </c>
      <c r="I136" s="186">
        <v>7830.2334629246989</v>
      </c>
      <c r="J136" s="186">
        <v>5073.8957206654723</v>
      </c>
      <c r="K136" s="187">
        <f>CRONOGRAMA!K40</f>
        <v>1588.0426608579944</v>
      </c>
      <c r="L136" s="186">
        <f t="shared" si="7"/>
        <v>3287106.6329533271</v>
      </c>
      <c r="M136" s="188">
        <f t="shared" si="6"/>
        <v>0.98898851117020148</v>
      </c>
      <c r="N136" s="189">
        <v>132</v>
      </c>
    </row>
    <row r="137" spans="2:14" ht="28.8">
      <c r="B137" s="723"/>
      <c r="C137" s="207" t="str">
        <f>CRONOGRAMA!C69</f>
        <v>INSTALAÇÃO-SISTEMA DE CHUVEIROS AUTOMÁTICOS VGA-2</v>
      </c>
      <c r="D137" s="214" t="str">
        <f>CRONOGRAMA!D69</f>
        <v>2.26</v>
      </c>
      <c r="E137" s="185">
        <f>CRONOGRAMA!E69</f>
        <v>64</v>
      </c>
      <c r="F137" s="221" t="str">
        <f>CRONOGRAMA!F69</f>
        <v>TE DE ACO GALVANIZADO 4" - FORNECIMENTO E INSTALACAO</v>
      </c>
      <c r="G137" s="186">
        <v>5950</v>
      </c>
      <c r="H137" s="186">
        <v>317.52</v>
      </c>
      <c r="I137" s="186">
        <v>92.566072093280866</v>
      </c>
      <c r="J137" s="186">
        <v>1734.5935026298223</v>
      </c>
      <c r="K137" s="187">
        <f>CRONOGRAMA!K69</f>
        <v>1538.5709268748794</v>
      </c>
      <c r="L137" s="186">
        <f t="shared" si="7"/>
        <v>3288645.203880202</v>
      </c>
      <c r="M137" s="188">
        <f t="shared" si="6"/>
        <v>0.98945141947839121</v>
      </c>
      <c r="N137" s="190">
        <v>133</v>
      </c>
    </row>
    <row r="138" spans="2:14" ht="28.8">
      <c r="B138" s="723"/>
      <c r="C138" s="207" t="str">
        <f>CRONOGRAMA!C89</f>
        <v>INSTALAÇÃO-SISTEMA DE CHUVEIROS AUTOMÁTICOS VGA-3</v>
      </c>
      <c r="D138" s="214" t="str">
        <f>CRONOGRAMA!D89</f>
        <v>2.17</v>
      </c>
      <c r="E138" s="185">
        <f>CRONOGRAMA!E89</f>
        <v>84</v>
      </c>
      <c r="F138" s="221" t="str">
        <f>CRONOGRAMA!F89</f>
        <v>COTOVELO 90 GRAUS AÇO GALVANIZADO , REDUÇÃO 4" X 2.1/2"</v>
      </c>
      <c r="G138" s="186">
        <v>2615.48</v>
      </c>
      <c r="H138" s="186">
        <v>622.77600000000007</v>
      </c>
      <c r="I138" s="186">
        <v>181.55684087290595</v>
      </c>
      <c r="J138" s="186">
        <v>762.48648979130212</v>
      </c>
      <c r="K138" s="187">
        <f>CRONOGRAMA!K89</f>
        <v>1511.1132707329687</v>
      </c>
      <c r="L138" s="186">
        <f t="shared" si="7"/>
        <v>3290156.3171509351</v>
      </c>
      <c r="M138" s="188">
        <f t="shared" si="6"/>
        <v>0.98990606662882119</v>
      </c>
      <c r="N138" s="191">
        <v>134</v>
      </c>
    </row>
    <row r="139" spans="2:14" ht="28.8">
      <c r="B139" s="723"/>
      <c r="C139" s="207" t="str">
        <f>CRONOGRAMA!C198</f>
        <v>COMISSIONAMENTO</v>
      </c>
      <c r="D139" s="214" t="str">
        <f>CRONOGRAMA!D198</f>
        <v>C1</v>
      </c>
      <c r="E139" s="185">
        <f>CRONOGRAMA!E198</f>
        <v>193</v>
      </c>
      <c r="F139" s="221" t="str">
        <f>CRONOGRAMA!F198</f>
        <v>COMISSIONAMENTO DO SISTEMA DE HIDRANTES</v>
      </c>
      <c r="G139" s="186"/>
      <c r="H139" s="186"/>
      <c r="I139" s="186"/>
      <c r="J139" s="186"/>
      <c r="K139" s="187">
        <f>CRONOGRAMA!K198</f>
        <v>1111.6959165249825</v>
      </c>
      <c r="L139" s="186">
        <f t="shared" si="7"/>
        <v>3291268.0130674602</v>
      </c>
      <c r="M139" s="188">
        <f t="shared" si="6"/>
        <v>0.99024054147619489</v>
      </c>
      <c r="N139" s="191">
        <v>135</v>
      </c>
    </row>
    <row r="140" spans="2:14" ht="100.8">
      <c r="B140" s="723"/>
      <c r="C140" s="207" t="str">
        <f>CRONOGRAMA!C18</f>
        <v>INSTALAÇÃO-SISTEMA DE CHUVEIROS AUTOMÁTICOS VGA-1</v>
      </c>
      <c r="D140" s="214" t="str">
        <f>CRONOGRAMA!D18</f>
        <v>2.4</v>
      </c>
      <c r="E140" s="185">
        <f>CRONOGRAMA!E18</f>
        <v>13</v>
      </c>
      <c r="F140" s="221" t="str">
        <f>CRONOGRAMA!F18</f>
        <v>TUBO DE AÇO GALVANIZADO COM COSTURA, CLASSE MÉDIA, CONEXÃO ROSQUEADA, DN 32 (1 1/4"), INSTALADO EM  REDE DE ALIMENTAÇÃO PARA SPRINKLER - FORNECIMENTO E INSTALAÇÃO. AF_10/2020</v>
      </c>
      <c r="G140" s="186">
        <v>94768.92</v>
      </c>
      <c r="H140" s="186">
        <v>7051.3254000000015</v>
      </c>
      <c r="I140" s="186">
        <v>2055.6610460115353</v>
      </c>
      <c r="J140" s="186">
        <v>27627.824013990827</v>
      </c>
      <c r="K140" s="187">
        <f>CRONOGRAMA!K18</f>
        <v>1644.9207796601054</v>
      </c>
      <c r="L140" s="186">
        <f t="shared" si="7"/>
        <v>3292912.93384712</v>
      </c>
      <c r="M140" s="188">
        <f t="shared" si="6"/>
        <v>0.99073544715907114</v>
      </c>
      <c r="N140" s="189">
        <v>136</v>
      </c>
    </row>
    <row r="141" spans="2:14">
      <c r="B141" s="723"/>
      <c r="C141" s="207" t="str">
        <f>CRONOGRAMA!C16</f>
        <v>INSTALAÇÃO-SISTEMA DE HIDRANTES</v>
      </c>
      <c r="D141" s="214" t="str">
        <f>CRONOGRAMA!D16</f>
        <v>1.3</v>
      </c>
      <c r="E141" s="185">
        <f>CRONOGRAMA!E16</f>
        <v>11</v>
      </c>
      <c r="F141" s="221" t="str">
        <f>CRONOGRAMA!F16</f>
        <v>REGISTRO DE  RECALQUE SIMPLES</v>
      </c>
      <c r="G141" s="186">
        <v>94768.92</v>
      </c>
      <c r="H141" s="186">
        <v>7051.3254000000015</v>
      </c>
      <c r="I141" s="186">
        <v>2055.6610460115353</v>
      </c>
      <c r="J141" s="186">
        <v>27627.824013990827</v>
      </c>
      <c r="K141" s="187">
        <f>CRONOGRAMA!K16</f>
        <v>1493.9882991768191</v>
      </c>
      <c r="L141" s="186">
        <f t="shared" si="7"/>
        <v>3294406.9221462971</v>
      </c>
      <c r="M141" s="188">
        <f t="shared" si="6"/>
        <v>0.99118494193630058</v>
      </c>
      <c r="N141" s="190">
        <v>137</v>
      </c>
    </row>
    <row r="142" spans="2:14" ht="100.8">
      <c r="B142" s="723"/>
      <c r="C142" s="207" t="str">
        <f>CRONOGRAMA!C47</f>
        <v>INSTALAÇÃO-SISTEMA DE CHUVEIROS AUTOMÁTICOS VGA-2</v>
      </c>
      <c r="D142" s="214" t="str">
        <f>CRONOGRAMA!D47</f>
        <v>2.4</v>
      </c>
      <c r="E142" s="185">
        <f>CRONOGRAMA!E47</f>
        <v>42</v>
      </c>
      <c r="F142" s="221" t="str">
        <f>CRONOGRAMA!F47</f>
        <v>TUBO DE AÇO GALVANIZADO COM COSTURA, CLASSE MÉDIA, CONEXÃO ROSQUEADA, DN 32 (1 1/4"), INSTALADO EM  REDE DE ALIMENTAÇÃO PARA SPRINKLER - FORNECIMENTO E INSTALAÇÃO. AF_10/2020</v>
      </c>
      <c r="G142" s="186">
        <v>27975.521769999999</v>
      </c>
      <c r="H142" s="186">
        <v>6822.5621624999994</v>
      </c>
      <c r="I142" s="186">
        <v>1988.970083758079</v>
      </c>
      <c r="J142" s="186">
        <v>8155.656856289268</v>
      </c>
      <c r="K142" s="187">
        <f>CRONOGRAMA!K47</f>
        <v>1593.6771416644635</v>
      </c>
      <c r="L142" s="186">
        <f t="shared" si="7"/>
        <v>3296000.5992879616</v>
      </c>
      <c r="M142" s="188">
        <f t="shared" si="6"/>
        <v>0.99166442999665738</v>
      </c>
      <c r="N142" s="191">
        <v>138</v>
      </c>
    </row>
    <row r="143" spans="2:14">
      <c r="B143" s="723"/>
      <c r="C143" s="207" t="str">
        <f>CRONOGRAMA!C125</f>
        <v>INSTALAÇÃO-SISTEMA DE CHUVEIROS AUTOMÁTICOS VGA-4</v>
      </c>
      <c r="D143" s="214" t="str">
        <f>CRONOGRAMA!D125</f>
        <v>2.24</v>
      </c>
      <c r="E143" s="185">
        <f>CRONOGRAMA!E125</f>
        <v>120</v>
      </c>
      <c r="F143" s="221" t="str">
        <f>CRONOGRAMA!F125</f>
        <v>TE DE REDUCAO  DE 4" X 2.1/2"</v>
      </c>
      <c r="G143" s="186">
        <v>948.81</v>
      </c>
      <c r="H143" s="186">
        <v>79.38</v>
      </c>
      <c r="I143" s="186">
        <v>23.141518023320216</v>
      </c>
      <c r="J143" s="186">
        <v>276.60498508070617</v>
      </c>
      <c r="K143" s="187">
        <f>CRONOGRAMA!K125</f>
        <v>1840.6657603544629</v>
      </c>
      <c r="L143" s="186">
        <f t="shared" si="7"/>
        <v>3297841.2650483162</v>
      </c>
      <c r="M143" s="188">
        <f t="shared" si="6"/>
        <v>0.99221822927765591</v>
      </c>
      <c r="N143" s="191">
        <v>139</v>
      </c>
    </row>
    <row r="144" spans="2:14" ht="28.8">
      <c r="B144" s="723"/>
      <c r="C144" s="207" t="str">
        <f>CRONOGRAMA!C87</f>
        <v>INSTALAÇÃO-SISTEMA DE CHUVEIROS AUTOMÁTICOS VGA-3</v>
      </c>
      <c r="D144" s="214" t="str">
        <f>CRONOGRAMA!D87</f>
        <v>2.15</v>
      </c>
      <c r="E144" s="185">
        <f>CRONOGRAMA!E87</f>
        <v>82</v>
      </c>
      <c r="F144" s="221" t="str">
        <f>CRONOGRAMA!F87</f>
        <v>COTOVELO 90 GRAUS AÇO GALVANIZADO , REDUÇÃO 2.1/2" X 2"</v>
      </c>
      <c r="G144" s="186">
        <v>12295.41102</v>
      </c>
      <c r="H144" s="186">
        <v>20459.917170000001</v>
      </c>
      <c r="I144" s="186">
        <v>5964.6452751977049</v>
      </c>
      <c r="J144" s="186">
        <v>3584.4605155386748</v>
      </c>
      <c r="K144" s="187">
        <f>CRONOGRAMA!K87</f>
        <v>1307.9762160249932</v>
      </c>
      <c r="L144" s="186">
        <f t="shared" si="7"/>
        <v>3299149.2412643414</v>
      </c>
      <c r="M144" s="188">
        <f t="shared" si="6"/>
        <v>0.99261175878398977</v>
      </c>
      <c r="N144" s="189">
        <v>140</v>
      </c>
    </row>
    <row r="145" spans="2:14" ht="28.8">
      <c r="B145" s="723"/>
      <c r="C145" s="207" t="str">
        <f>CRONOGRAMA!C98</f>
        <v>INSTALAÇÃO-SISTEMA DE CHUVEIROS AUTOMÁTICOS VGA-3</v>
      </c>
      <c r="D145" s="214" t="str">
        <f>CRONOGRAMA!D98</f>
        <v>2.26</v>
      </c>
      <c r="E145" s="185">
        <f>CRONOGRAMA!E98</f>
        <v>93</v>
      </c>
      <c r="F145" s="221" t="str">
        <f>CRONOGRAMA!F98</f>
        <v>TE DE ACO GALVANIZADO 4" - FORNECIMENTO E INSTALACAO</v>
      </c>
      <c r="G145" s="186">
        <v>15675</v>
      </c>
      <c r="H145" s="186">
        <v>3741.3778499999999</v>
      </c>
      <c r="I145" s="186">
        <v>1090.7175982341403</v>
      </c>
      <c r="J145" s="186">
        <v>4569.7064123903301</v>
      </c>
      <c r="K145" s="187">
        <f>CRONOGRAMA!K98</f>
        <v>1296.1594303576155</v>
      </c>
      <c r="L145" s="186">
        <f t="shared" si="7"/>
        <v>3300445.400694699</v>
      </c>
      <c r="M145" s="188">
        <f t="shared" si="6"/>
        <v>0.99300173298574446</v>
      </c>
      <c r="N145" s="190">
        <v>141</v>
      </c>
    </row>
    <row r="146" spans="2:14" ht="100.8">
      <c r="B146" s="723"/>
      <c r="C146" s="207" t="str">
        <f>CRONOGRAMA!C76</f>
        <v>INSTALAÇÃO-SISTEMA DE CHUVEIROS AUTOMÁTICOS VGA-3</v>
      </c>
      <c r="D146" s="214" t="str">
        <f>CRONOGRAMA!D76</f>
        <v>2.4</v>
      </c>
      <c r="E146" s="185">
        <f>CRONOGRAMA!E76</f>
        <v>71</v>
      </c>
      <c r="F146" s="221" t="str">
        <f>CRONOGRAMA!F76</f>
        <v>TUBO DE AÇO GALVANIZADO COM COSTURA, CLASSE MÉDIA, CONEXÃO ROSQUEADA, DN 32 (1 1/4"), INSTALADO EM  REDE DE ALIMENTAÇÃO PARA SPRINKLER - FORNECIMENTO E INSTALAÇÃO. AF_10/2020</v>
      </c>
      <c r="G146" s="186">
        <v>31818.750560999997</v>
      </c>
      <c r="H146" s="186">
        <v>15333.596460000001</v>
      </c>
      <c r="I146" s="186">
        <v>4470.177612010697</v>
      </c>
      <c r="J146" s="186">
        <v>9276.0668882201026</v>
      </c>
      <c r="K146" s="187">
        <f>CRONOGRAMA!K76</f>
        <v>1342.583315485818</v>
      </c>
      <c r="L146" s="186">
        <f t="shared" si="7"/>
        <v>3301787.9840101846</v>
      </c>
      <c r="M146" s="188">
        <f t="shared" si="6"/>
        <v>0.99340567469575558</v>
      </c>
      <c r="N146" s="191">
        <v>142</v>
      </c>
    </row>
    <row r="147" spans="2:14" ht="28.8">
      <c r="B147" s="723"/>
      <c r="C147" s="207" t="str">
        <f>CRONOGRAMA!C113</f>
        <v>INSTALAÇÃO-SISTEMA DE CHUVEIROS AUTOMÁTICOS VGA-4</v>
      </c>
      <c r="D147" s="214" t="str">
        <f>CRONOGRAMA!D113</f>
        <v>2.12</v>
      </c>
      <c r="E147" s="185">
        <f>CRONOGRAMA!E113</f>
        <v>108</v>
      </c>
      <c r="F147" s="221" t="str">
        <f>CRONOGRAMA!F113</f>
        <v>COTOVELO DE AÇO GALVANIZADO 4" - FORNECIMENTO E INSTALAÇÃO</v>
      </c>
      <c r="G147" s="186">
        <v>1488.375</v>
      </c>
      <c r="H147" s="186">
        <v>2926.93905</v>
      </c>
      <c r="I147" s="186">
        <v>853.28562331487478</v>
      </c>
      <c r="J147" s="186">
        <v>433.90346293725412</v>
      </c>
      <c r="K147" s="187">
        <f>CRONOGRAMA!K113</f>
        <v>1042.3410394825964</v>
      </c>
      <c r="L147" s="186">
        <f t="shared" si="7"/>
        <v>3302830.3250496672</v>
      </c>
      <c r="M147" s="188">
        <f t="shared" si="6"/>
        <v>0.99371928281008781</v>
      </c>
      <c r="N147" s="191">
        <v>143</v>
      </c>
    </row>
    <row r="148" spans="2:14" ht="28.8">
      <c r="B148" s="723"/>
      <c r="C148" s="207" t="str">
        <f>CRONOGRAMA!C177</f>
        <v>INSTALAÇÃO-EXTINTOR DE INCÊNDIO</v>
      </c>
      <c r="D148" s="214" t="str">
        <f>CRONOGRAMA!D177</f>
        <v>6.1</v>
      </c>
      <c r="E148" s="185">
        <f>CRONOGRAMA!E177</f>
        <v>172</v>
      </c>
      <c r="F148" s="221" t="str">
        <f>CRONOGRAMA!F177</f>
        <v>EXTINTOR DE PQS 4KG - FORNECIMENTO E INSTALACAO</v>
      </c>
      <c r="G148" s="186">
        <v>52.93</v>
      </c>
      <c r="H148" s="186">
        <v>79.38</v>
      </c>
      <c r="I148" s="186">
        <v>23.141518023320216</v>
      </c>
      <c r="J148" s="186">
        <v>15.430593965411177</v>
      </c>
      <c r="K148" s="187">
        <f>CRONOGRAMA!K177</f>
        <v>792.80724214728082</v>
      </c>
      <c r="L148" s="186">
        <f t="shared" si="7"/>
        <v>3303623.1322918143</v>
      </c>
      <c r="M148" s="188">
        <f t="shared" si="6"/>
        <v>0.99395781393840466</v>
      </c>
      <c r="N148" s="189">
        <v>144</v>
      </c>
    </row>
    <row r="149" spans="2:14" ht="28.8">
      <c r="B149" s="723"/>
      <c r="C149" s="207" t="str">
        <f>CRONOGRAMA!C30</f>
        <v>INSTALAÇÃO-SISTEMA DE CHUVEIROS AUTOMÁTICOS VGA-1</v>
      </c>
      <c r="D149" s="214" t="str">
        <f>CRONOGRAMA!D30</f>
        <v>2.16</v>
      </c>
      <c r="E149" s="185">
        <f>CRONOGRAMA!E30</f>
        <v>25</v>
      </c>
      <c r="F149" s="221" t="str">
        <f>CRONOGRAMA!F30</f>
        <v>COTOVELO 90 GRAUS AÇO GALVANIZADO , REDUÇÃO 4" X 2"</v>
      </c>
      <c r="G149" s="186">
        <v>17384</v>
      </c>
      <c r="H149" s="186">
        <v>238.14000000000001</v>
      </c>
      <c r="I149" s="186">
        <v>69.424554069960664</v>
      </c>
      <c r="J149" s="186">
        <v>5067.9283108767786</v>
      </c>
      <c r="K149" s="187">
        <f>CRONOGRAMA!K30</f>
        <v>1028.5567428017027</v>
      </c>
      <c r="L149" s="186">
        <f t="shared" si="7"/>
        <v>3304651.6890346161</v>
      </c>
      <c r="M149" s="188">
        <f t="shared" si="6"/>
        <v>0.99426727478507138</v>
      </c>
      <c r="N149" s="190">
        <v>145</v>
      </c>
    </row>
    <row r="150" spans="2:14" ht="43.2">
      <c r="B150" s="723"/>
      <c r="C150" s="207" t="str">
        <f>CRONOGRAMA!C128</f>
        <v>INSTALAÇÃO-SISTEMA DE CHUVEIROS AUTOMÁTICOS VGA-4</v>
      </c>
      <c r="D150" s="214" t="str">
        <f>CRONOGRAMA!D128</f>
        <v>2.27</v>
      </c>
      <c r="E150" s="185">
        <f>CRONOGRAMA!E128</f>
        <v>123</v>
      </c>
      <c r="F150" s="221" t="str">
        <f>CRONOGRAMA!F128</f>
        <v>BUCHA DE REDUCAO DE FERRO GALVANIZADO, COM ROSCA BSP, DE 1" X 3/4"</v>
      </c>
      <c r="G150" s="186">
        <v>878</v>
      </c>
      <c r="H150" s="186">
        <v>0</v>
      </c>
      <c r="I150" s="186">
        <v>0</v>
      </c>
      <c r="J150" s="186">
        <v>255.96186475781244</v>
      </c>
      <c r="K150" s="187">
        <f>CRONOGRAMA!K128</f>
        <v>900.79897696615865</v>
      </c>
      <c r="L150" s="186">
        <f t="shared" si="7"/>
        <v>3305552.4880115823</v>
      </c>
      <c r="M150" s="188">
        <f t="shared" si="6"/>
        <v>0.99453829727949317</v>
      </c>
      <c r="N150" s="191">
        <v>146</v>
      </c>
    </row>
    <row r="151" spans="2:14" ht="28.8">
      <c r="B151" s="723"/>
      <c r="C151" s="207" t="str">
        <f>CRONOGRAMA!C59</f>
        <v>INSTALAÇÃO-SISTEMA DE CHUVEIROS AUTOMÁTICOS VGA-2</v>
      </c>
      <c r="D151" s="214" t="str">
        <f>CRONOGRAMA!D59</f>
        <v>2.16</v>
      </c>
      <c r="E151" s="185">
        <f>CRONOGRAMA!E59</f>
        <v>54</v>
      </c>
      <c r="F151" s="221" t="str">
        <f>CRONOGRAMA!F59</f>
        <v>COTOVELO 90 GRAUS AÇO GALVANIZADO , REDUÇÃO 4" X 2"</v>
      </c>
      <c r="G151" s="186">
        <v>9165.5885999999991</v>
      </c>
      <c r="H151" s="186">
        <v>16554.460859999999</v>
      </c>
      <c r="I151" s="186">
        <v>4826.0941592093614</v>
      </c>
      <c r="J151" s="186">
        <v>2672.028644258482</v>
      </c>
      <c r="K151" s="187">
        <f>CRONOGRAMA!K59</f>
        <v>996.51447667080856</v>
      </c>
      <c r="L151" s="186">
        <f t="shared" si="7"/>
        <v>3306549.0024882532</v>
      </c>
      <c r="M151" s="188">
        <f t="shared" si="6"/>
        <v>0.99483811760134166</v>
      </c>
      <c r="N151" s="191">
        <v>147</v>
      </c>
    </row>
    <row r="152" spans="2:14">
      <c r="B152" s="723"/>
      <c r="C152" s="207" t="str">
        <f>CRONOGRAMA!C153</f>
        <v>INSTALAÇÃO-CASA DE BOMBAS</v>
      </c>
      <c r="D152" s="214" t="str">
        <f>CRONOGRAMA!D153</f>
        <v>4.11</v>
      </c>
      <c r="E152" s="185">
        <f>CRONOGRAMA!E153</f>
        <v>148</v>
      </c>
      <c r="F152" s="221" t="str">
        <f>CRONOGRAMA!F153</f>
        <v xml:space="preserve">PLACA ANTIVORTICE 120mm x 120mm </v>
      </c>
      <c r="G152" s="186">
        <v>132.5</v>
      </c>
      <c r="H152" s="186">
        <v>222.65</v>
      </c>
      <c r="I152" s="186">
        <v>64.908780396727721</v>
      </c>
      <c r="J152" s="186">
        <v>38.627502369487644</v>
      </c>
      <c r="K152" s="187">
        <f>CRONOGRAMA!K153</f>
        <v>989.49091495789185</v>
      </c>
      <c r="L152" s="186">
        <f t="shared" si="7"/>
        <v>3307538.4934032112</v>
      </c>
      <c r="M152" s="188">
        <f t="shared" si="6"/>
        <v>0.99513582475114637</v>
      </c>
      <c r="N152" s="189">
        <v>148</v>
      </c>
    </row>
    <row r="153" spans="2:14" ht="72">
      <c r="B153" s="723"/>
      <c r="C153" s="207" t="str">
        <f>CRONOGRAMA!C12</f>
        <v>INSTALAÇÃO-SISTEMA DE HIDRANTES</v>
      </c>
      <c r="D153" s="214" t="str">
        <f>CRONOGRAMA!D12</f>
        <v>1.9</v>
      </c>
      <c r="E153" s="185">
        <f>CRONOGRAMA!E12</f>
        <v>7</v>
      </c>
      <c r="F153" s="221" t="str">
        <f>CRONOGRAMA!F12</f>
        <v>TÊ, EM FERRO GALVANIZADO, CONEXÃO ROSQUEADA, DN 65 (2 1/2"), INSTALADO EM REDE DE ALIMENTAÇÃO PARA HIDRANTE - FORNECIMENTO E INSTALAÇÃO. AF_10/2020</v>
      </c>
      <c r="G153" s="186">
        <v>116874.96966</v>
      </c>
      <c r="H153" s="186">
        <v>43182.402479999997</v>
      </c>
      <c r="I153" s="186">
        <v>12588.893238614104</v>
      </c>
      <c r="J153" s="186">
        <v>34072.363528116577</v>
      </c>
      <c r="K153" s="187">
        <f>CRONOGRAMA!K12</f>
        <v>822.71503429535642</v>
      </c>
      <c r="L153" s="186">
        <f t="shared" si="7"/>
        <v>3308361.2084375066</v>
      </c>
      <c r="M153" s="188">
        <f t="shared" si="6"/>
        <v>0.99538335420721213</v>
      </c>
      <c r="N153" s="190">
        <v>149</v>
      </c>
    </row>
    <row r="154" spans="2:14" ht="86.4">
      <c r="B154" s="723"/>
      <c r="C154" s="207" t="str">
        <f>CRONOGRAMA!C167</f>
        <v>INSTALAÇÃO-CASA DE BOMBAS</v>
      </c>
      <c r="D154" s="214" t="str">
        <f>CRONOGRAMA!D167</f>
        <v>4.25</v>
      </c>
      <c r="E154" s="185">
        <f>CRONOGRAMA!E167</f>
        <v>162</v>
      </c>
      <c r="F154" s="221" t="str">
        <f>CRONOGRAMA!F167</f>
        <v>TUBO DE AÇO GALVANIZADO COM COSTURA, CLASSE MÉDIA, CONEXÃO ROSQUEADA, DN 25 (1"), INSTALADO EM REDE DE ALIMENTAÇÃO PARA SPRINKLER - FORNECIMENTO E INSTALAÇÃO. AF_10/2020</v>
      </c>
      <c r="G154" s="186">
        <v>237.67232000000001</v>
      </c>
      <c r="H154" s="186">
        <v>302.91408000000001</v>
      </c>
      <c r="I154" s="186">
        <v>88.308032776989961</v>
      </c>
      <c r="J154" s="186">
        <v>69.288212105370761</v>
      </c>
      <c r="K154" s="187">
        <f>CRONOGRAMA!K167</f>
        <v>961.54505549726514</v>
      </c>
      <c r="L154" s="186">
        <f t="shared" si="7"/>
        <v>3309322.753493004</v>
      </c>
      <c r="M154" s="188">
        <f t="shared" si="6"/>
        <v>0.995672653314009</v>
      </c>
      <c r="N154" s="191">
        <v>150</v>
      </c>
    </row>
    <row r="155" spans="2:14" ht="28.8">
      <c r="B155" s="723"/>
      <c r="C155" s="207" t="str">
        <f>CRONOGRAMA!C88</f>
        <v>INSTALAÇÃO-SISTEMA DE CHUVEIROS AUTOMÁTICOS VGA-3</v>
      </c>
      <c r="D155" s="214" t="str">
        <f>CRONOGRAMA!D88</f>
        <v>2.16</v>
      </c>
      <c r="E155" s="185">
        <f>CRONOGRAMA!E88</f>
        <v>83</v>
      </c>
      <c r="F155" s="221" t="str">
        <f>CRONOGRAMA!F88</f>
        <v>COTOVELO 90 GRAUS AÇO GALVANIZADO , REDUÇÃO 4" X 2"</v>
      </c>
      <c r="G155" s="186">
        <v>3049.78</v>
      </c>
      <c r="H155" s="186">
        <v>411.8</v>
      </c>
      <c r="I155" s="186">
        <v>120.0513620811699</v>
      </c>
      <c r="J155" s="186">
        <v>889.09723906729073</v>
      </c>
      <c r="K155" s="187">
        <f>CRONOGRAMA!K88</f>
        <v>839.50737262942721</v>
      </c>
      <c r="L155" s="186">
        <f t="shared" si="7"/>
        <v>3310162.2608656334</v>
      </c>
      <c r="M155" s="188">
        <f t="shared" si="6"/>
        <v>0.9959252350642479</v>
      </c>
      <c r="N155" s="191">
        <v>151</v>
      </c>
    </row>
    <row r="156" spans="2:14">
      <c r="B156" s="723"/>
      <c r="C156" s="207" t="str">
        <f>CRONOGRAMA!C122</f>
        <v>INSTALAÇÃO-SISTEMA DE CHUVEIROS AUTOMÁTICOS VGA-4</v>
      </c>
      <c r="D156" s="214" t="str">
        <f>CRONOGRAMA!D122</f>
        <v>2.21</v>
      </c>
      <c r="E156" s="185">
        <f>CRONOGRAMA!E122</f>
        <v>117</v>
      </c>
      <c r="F156" s="221" t="str">
        <f>CRONOGRAMA!F122</f>
        <v>TE DE REDUCAO   2.1/2"X1"</v>
      </c>
      <c r="G156" s="186">
        <v>1488.375</v>
      </c>
      <c r="H156" s="186">
        <v>2926.93905</v>
      </c>
      <c r="I156" s="186">
        <v>853.28562331487478</v>
      </c>
      <c r="J156" s="186">
        <v>433.90346293725412</v>
      </c>
      <c r="K156" s="187">
        <f>CRONOGRAMA!K122</f>
        <v>791.85261575733148</v>
      </c>
      <c r="L156" s="186">
        <f t="shared" si="7"/>
        <v>3310954.1134813908</v>
      </c>
      <c r="M156" s="188">
        <f t="shared" si="6"/>
        <v>0.99616347897506996</v>
      </c>
      <c r="N156" s="189">
        <v>152</v>
      </c>
    </row>
    <row r="157" spans="2:14" ht="28.8">
      <c r="B157" s="723"/>
      <c r="C157" s="207" t="str">
        <f>CRONOGRAMA!C181</f>
        <v>INSTALAÇÃO-EXTINTOR DE INCÊNDIO</v>
      </c>
      <c r="D157" s="214" t="str">
        <f>CRONOGRAMA!D181</f>
        <v>6.5</v>
      </c>
      <c r="E157" s="185">
        <f>CRONOGRAMA!E181</f>
        <v>176</v>
      </c>
      <c r="F157" s="221" t="str">
        <f>CRONOGRAMA!F181</f>
        <v>SUPORTE DE EXTINTOR  DE PAREDE-Fornecimento e instalação</v>
      </c>
      <c r="G157" s="186">
        <v>2.2000000000000002</v>
      </c>
      <c r="H157" s="186">
        <v>60.660000000000004</v>
      </c>
      <c r="I157" s="186">
        <v>17.684107877231099</v>
      </c>
      <c r="J157" s="186">
        <v>0.64136230349337975</v>
      </c>
      <c r="K157" s="187">
        <f>CRONOGRAMA!K181</f>
        <v>270.70433582373289</v>
      </c>
      <c r="L157" s="186">
        <f t="shared" si="7"/>
        <v>3311224.8178172144</v>
      </c>
      <c r="M157" s="188">
        <f t="shared" si="6"/>
        <v>0.99624492551999488</v>
      </c>
      <c r="N157" s="190">
        <v>153</v>
      </c>
    </row>
    <row r="158" spans="2:14" ht="28.8">
      <c r="B158" s="723"/>
      <c r="C158" s="207" t="str">
        <f>CRONOGRAMA!C184</f>
        <v>INSTALAÇÃO-SISTEMA DE SINALIZAÇÃO DE EMERGÊNCIA</v>
      </c>
      <c r="D158" s="214" t="str">
        <f>CRONOGRAMA!D184</f>
        <v>7.1</v>
      </c>
      <c r="E158" s="185">
        <f>CRONOGRAMA!E184</f>
        <v>179</v>
      </c>
      <c r="F158" s="221" t="str">
        <f>CRONOGRAMA!F184</f>
        <v>SINAL FOT. E7 ABRIGO DE MANGUEIRA 200X200</v>
      </c>
      <c r="G158" s="186">
        <v>237.67232000000001</v>
      </c>
      <c r="H158" s="186">
        <v>302.91408000000001</v>
      </c>
      <c r="I158" s="186">
        <v>88.308032776989961</v>
      </c>
      <c r="J158" s="186">
        <v>69.288212105370761</v>
      </c>
      <c r="K158" s="187">
        <f>CRONOGRAMA!K184</f>
        <v>493.7125307983701</v>
      </c>
      <c r="L158" s="186">
        <f t="shared" si="7"/>
        <v>3311718.5303480127</v>
      </c>
      <c r="M158" s="188">
        <f t="shared" si="6"/>
        <v>0.99639346831927167</v>
      </c>
      <c r="N158" s="191">
        <v>154</v>
      </c>
    </row>
    <row r="159" spans="2:14" ht="28.8">
      <c r="B159" s="723"/>
      <c r="C159" s="207" t="str">
        <f>CRONOGRAMA!C185</f>
        <v>INSTALAÇÃO-SISTEMA DE SINALIZAÇÃO DE EMERGÊNCIA</v>
      </c>
      <c r="D159" s="214" t="str">
        <f>CRONOGRAMA!D185</f>
        <v>7.2</v>
      </c>
      <c r="E159" s="185">
        <f>CRONOGRAMA!E185</f>
        <v>180</v>
      </c>
      <c r="F159" s="221" t="str">
        <f>CRONOGRAMA!F185</f>
        <v>SINAL FOT. E8 `H` HIDRANTE DE INCENDIO 200X200</v>
      </c>
      <c r="G159" s="186">
        <v>270.42</v>
      </c>
      <c r="H159" s="186">
        <v>125.26164</v>
      </c>
      <c r="I159" s="186">
        <v>36.517315440799308</v>
      </c>
      <c r="J159" s="186">
        <v>78.835088232127163</v>
      </c>
      <c r="K159" s="187">
        <f>CRONOGRAMA!K185</f>
        <v>493.7125307983701</v>
      </c>
      <c r="L159" s="186">
        <f t="shared" si="7"/>
        <v>3312212.242878811</v>
      </c>
      <c r="M159" s="188">
        <f t="shared" si="6"/>
        <v>0.99654201111854845</v>
      </c>
      <c r="N159" s="191">
        <v>155</v>
      </c>
    </row>
    <row r="160" spans="2:14">
      <c r="B160" s="723"/>
      <c r="C160" s="207" t="str">
        <f>CRONOGRAMA!C43</f>
        <v>INSTALAÇÃO-SISTEMA DE CHUVEIROS AUTOMÁTICOS VGA-1</v>
      </c>
      <c r="D160" s="214" t="str">
        <f>CRONOGRAMA!D43</f>
        <v>2.29</v>
      </c>
      <c r="E160" s="185">
        <f>CRONOGRAMA!E43</f>
        <v>38</v>
      </c>
      <c r="F160" s="221" t="str">
        <f>CRONOGRAMA!F43</f>
        <v>REGISTRO DE  RECALQUE DUPLO</v>
      </c>
      <c r="G160" s="186">
        <v>29468.135579999998</v>
      </c>
      <c r="H160" s="186">
        <v>19051.67628</v>
      </c>
      <c r="I160" s="186">
        <v>5554.1031747049919</v>
      </c>
      <c r="J160" s="186">
        <v>8590.7960523836446</v>
      </c>
      <c r="K160" s="187">
        <f>CRONOGRAMA!K43</f>
        <v>712.17897602955463</v>
      </c>
      <c r="L160" s="186">
        <f t="shared" si="7"/>
        <v>3312924.4218548406</v>
      </c>
      <c r="M160" s="188">
        <f t="shared" si="6"/>
        <v>0.99675628370043834</v>
      </c>
      <c r="N160" s="189">
        <v>156</v>
      </c>
    </row>
    <row r="161" spans="2:38">
      <c r="B161" s="723"/>
      <c r="C161" s="207" t="str">
        <f>CRONOGRAMA!C72</f>
        <v>INSTALAÇÃO-SISTEMA DE CHUVEIROS AUTOMÁTICOS VGA-2</v>
      </c>
      <c r="D161" s="214" t="str">
        <f>CRONOGRAMA!D72</f>
        <v>2.29</v>
      </c>
      <c r="E161" s="185">
        <f>CRONOGRAMA!E72</f>
        <v>67</v>
      </c>
      <c r="F161" s="221" t="str">
        <f>CRONOGRAMA!F72</f>
        <v>REGISTRO DE  RECALQUE DUPLO</v>
      </c>
      <c r="G161" s="186">
        <v>5560.86</v>
      </c>
      <c r="H161" s="186">
        <v>188.55</v>
      </c>
      <c r="I161" s="186">
        <v>54.967664692580342</v>
      </c>
      <c r="J161" s="186">
        <v>1621.1481722746341</v>
      </c>
      <c r="K161" s="187">
        <f>CRONOGRAMA!K72</f>
        <v>689.99271509405446</v>
      </c>
      <c r="L161" s="186">
        <f t="shared" si="7"/>
        <v>3313614.4145699348</v>
      </c>
      <c r="M161" s="188">
        <f t="shared" si="6"/>
        <v>0.99696388112401391</v>
      </c>
      <c r="N161" s="190">
        <v>157</v>
      </c>
    </row>
    <row r="162" spans="2:38" ht="28.8">
      <c r="B162" s="723"/>
      <c r="C162" s="207" t="str">
        <f>CRONOGRAMA!C118</f>
        <v>INSTALAÇÃO-SISTEMA DE CHUVEIROS AUTOMÁTICOS VGA-4</v>
      </c>
      <c r="D162" s="214" t="str">
        <f>CRONOGRAMA!D118</f>
        <v>2.17</v>
      </c>
      <c r="E162" s="185">
        <f>CRONOGRAMA!E118</f>
        <v>113</v>
      </c>
      <c r="F162" s="221" t="str">
        <f>CRONOGRAMA!F118</f>
        <v>COTOVELO 90 GRAUS AÇO GALVANIZADO , REDUÇÃO 4" X 2.1/2"</v>
      </c>
      <c r="G162" s="186">
        <v>1186.67</v>
      </c>
      <c r="H162" s="186">
        <v>90.15</v>
      </c>
      <c r="I162" s="186">
        <v>26.281278027240084</v>
      </c>
      <c r="J162" s="186">
        <v>345.94791122113133</v>
      </c>
      <c r="K162" s="187">
        <f>CRONOGRAMA!K118</f>
        <v>611.36643777746065</v>
      </c>
      <c r="L162" s="186">
        <f t="shared" si="7"/>
        <v>3314225.7810077122</v>
      </c>
      <c r="M162" s="188">
        <f t="shared" si="6"/>
        <v>0.99714782233754662</v>
      </c>
      <c r="N162" s="191">
        <v>158</v>
      </c>
    </row>
    <row r="163" spans="2:38" ht="57.6">
      <c r="B163" s="723"/>
      <c r="C163" s="207" t="str">
        <f>CRONOGRAMA!C156</f>
        <v>INSTALAÇÃO-CASA DE BOMBAS</v>
      </c>
      <c r="D163" s="214" t="str">
        <f>CRONOGRAMA!D156</f>
        <v>4.14</v>
      </c>
      <c r="E163" s="185">
        <f>CRONOGRAMA!E156</f>
        <v>151</v>
      </c>
      <c r="F163" s="221" t="str">
        <f>CRONOGRAMA!F156</f>
        <v>TUBO ACO GALVANIZADO COM COSTURA, CLASSE LEVE, DN 20 MM ( 3/4"),  E = 2,25 MM,  *1,3* KG/M (NBR 5580)</v>
      </c>
      <c r="G163" s="186">
        <v>986.01</v>
      </c>
      <c r="H163" s="186">
        <v>80.88</v>
      </c>
      <c r="I163" s="186">
        <v>23.578810502974793</v>
      </c>
      <c r="J163" s="186">
        <v>287.44983857613971</v>
      </c>
      <c r="K163" s="187">
        <f>CRONOGRAMA!K156</f>
        <v>968.95620662403326</v>
      </c>
      <c r="L163" s="186">
        <f t="shared" si="7"/>
        <v>3315194.7372143362</v>
      </c>
      <c r="M163" s="188">
        <f t="shared" si="6"/>
        <v>0.99743935123002958</v>
      </c>
      <c r="N163" s="191">
        <v>159</v>
      </c>
      <c r="AL163" s="1"/>
    </row>
    <row r="164" spans="2:38" ht="28.8">
      <c r="B164" s="723"/>
      <c r="C164" s="207" t="str">
        <f>CRONOGRAMA!C116</f>
        <v>INSTALAÇÃO-SISTEMA DE CHUVEIROS AUTOMÁTICOS VGA-4</v>
      </c>
      <c r="D164" s="214" t="str">
        <f>CRONOGRAMA!D116</f>
        <v>2.15</v>
      </c>
      <c r="E164" s="185">
        <f>CRONOGRAMA!E116</f>
        <v>111</v>
      </c>
      <c r="F164" s="221" t="str">
        <f>CRONOGRAMA!F116</f>
        <v>COTOVELO 90 GRAUS AÇO GALVANIZADO , REDUÇÃO 2.1/2" X 2"</v>
      </c>
      <c r="G164" s="186">
        <v>1123.2</v>
      </c>
      <c r="H164" s="186">
        <v>198.5</v>
      </c>
      <c r="I164" s="186">
        <v>57.868371474289034</v>
      </c>
      <c r="J164" s="186">
        <v>327.44460876534731</v>
      </c>
      <c r="K164" s="187">
        <f>CRONOGRAMA!K116</f>
        <v>529.18121717041709</v>
      </c>
      <c r="L164" s="186">
        <f t="shared" si="7"/>
        <v>3315723.9184315065</v>
      </c>
      <c r="M164" s="188">
        <f t="shared" si="6"/>
        <v>0.99759856545778292</v>
      </c>
      <c r="N164" s="189">
        <v>160</v>
      </c>
    </row>
    <row r="165" spans="2:38">
      <c r="B165" s="723"/>
      <c r="C165" s="207" t="str">
        <f>CRONOGRAMA!C101</f>
        <v>INSTALAÇÃO-SISTEMA DE CHUVEIROS AUTOMÁTICOS VGA-3</v>
      </c>
      <c r="D165" s="214" t="str">
        <f>CRONOGRAMA!D101</f>
        <v>2.29</v>
      </c>
      <c r="E165" s="185">
        <f>CRONOGRAMA!E101</f>
        <v>96</v>
      </c>
      <c r="F165" s="221" t="str">
        <f>CRONOGRAMA!F101</f>
        <v>REGISTRO DE  RECALQUE DUPLO</v>
      </c>
      <c r="G165" s="186">
        <v>4719.75</v>
      </c>
      <c r="H165" s="186">
        <v>1353.4290000000001</v>
      </c>
      <c r="I165" s="186">
        <v>394.56288229760975</v>
      </c>
      <c r="J165" s="186">
        <v>1375.9407872331267</v>
      </c>
      <c r="K165" s="187">
        <f>CRONOGRAMA!K101</f>
        <v>581.28003651010386</v>
      </c>
      <c r="L165" s="186">
        <f t="shared" si="7"/>
        <v>3316305.1984680165</v>
      </c>
      <c r="M165" s="188">
        <f t="shared" ref="M165:M196" si="8">L165/$K$208</f>
        <v>0.99777345460561817</v>
      </c>
      <c r="N165" s="190">
        <v>161</v>
      </c>
    </row>
    <row r="166" spans="2:38" ht="28.8">
      <c r="B166" s="723"/>
      <c r="C166" s="207" t="str">
        <f>CRONOGRAMA!C127</f>
        <v>INSTALAÇÃO-SISTEMA DE CHUVEIROS AUTOMÁTICOS VGA-4</v>
      </c>
      <c r="D166" s="214" t="str">
        <f>CRONOGRAMA!D127</f>
        <v>2.26</v>
      </c>
      <c r="E166" s="185">
        <f>CRONOGRAMA!E127</f>
        <v>122</v>
      </c>
      <c r="F166" s="221" t="str">
        <f>CRONOGRAMA!F127</f>
        <v>TE DE ACO GALVANIZADO 4" - FORNECIMENTO E INSTALACAO</v>
      </c>
      <c r="G166" s="186">
        <v>2551.1815799999999</v>
      </c>
      <c r="H166" s="186">
        <v>980.62083000000007</v>
      </c>
      <c r="I166" s="186">
        <v>285.87874290108635</v>
      </c>
      <c r="J166" s="186">
        <v>743.74167944485453</v>
      </c>
      <c r="K166" s="187">
        <f>CRONOGRAMA!K127</f>
        <v>524.40038022101999</v>
      </c>
      <c r="L166" s="186">
        <f t="shared" si="7"/>
        <v>3316829.5988482377</v>
      </c>
      <c r="M166" s="188">
        <f t="shared" si="8"/>
        <v>0.99793123042770226</v>
      </c>
      <c r="N166" s="191">
        <v>162</v>
      </c>
    </row>
    <row r="167" spans="2:38" ht="28.8">
      <c r="B167" s="723"/>
      <c r="C167" s="207" t="str">
        <f>CRONOGRAMA!C183</f>
        <v>INSTALAÇÃO-EXTINTOR DE INCÊNDIO</v>
      </c>
      <c r="D167" s="214" t="str">
        <f>CRONOGRAMA!D183</f>
        <v>6.7</v>
      </c>
      <c r="E167" s="185">
        <f>CRONOGRAMA!E183</f>
        <v>178</v>
      </c>
      <c r="F167" s="221" t="str">
        <f>CRONOGRAMA!F183</f>
        <v>MANUTENÇÃO DE 3° NÍVEL E RECARGA DE EXTINTOR PORT CO2 6KG</v>
      </c>
      <c r="G167" s="186">
        <v>19.149999999999999</v>
      </c>
      <c r="H167" s="186">
        <v>39.69</v>
      </c>
      <c r="I167" s="186">
        <v>11.570759011660108</v>
      </c>
      <c r="J167" s="186">
        <v>5.5827673235901001</v>
      </c>
      <c r="K167" s="187">
        <f>CRONOGRAMA!K183</f>
        <v>574.73010229752458</v>
      </c>
      <c r="L167" s="186">
        <f t="shared" si="7"/>
        <v>3317404.328950535</v>
      </c>
      <c r="M167" s="188">
        <f t="shared" si="8"/>
        <v>0.99810414890332988</v>
      </c>
      <c r="N167" s="191">
        <v>163</v>
      </c>
    </row>
    <row r="168" spans="2:38">
      <c r="B168" s="723"/>
      <c r="C168" s="207" t="str">
        <f>CRONOGRAMA!C173</f>
        <v>INSTALAÇÃO-SISTEMA DE ALARME DE INCÊNDIO</v>
      </c>
      <c r="D168" s="214" t="str">
        <f>CRONOGRAMA!D173</f>
        <v>5.5</v>
      </c>
      <c r="E168" s="185">
        <f>CRONOGRAMA!E173</f>
        <v>168</v>
      </c>
      <c r="F168" s="221" t="str">
        <f>CRONOGRAMA!F173</f>
        <v>PROTETOR DE SURTO DC - MPD 590</v>
      </c>
      <c r="G168" s="186">
        <v>270.42</v>
      </c>
      <c r="H168" s="186">
        <v>125.26164</v>
      </c>
      <c r="I168" s="186">
        <v>36.517315440799308</v>
      </c>
      <c r="J168" s="186">
        <v>78.835088232127163</v>
      </c>
      <c r="K168" s="187">
        <f>CRONOGRAMA!K173</f>
        <v>352.34184091637678</v>
      </c>
      <c r="L168" s="186">
        <f t="shared" si="7"/>
        <v>3317756.6707914514</v>
      </c>
      <c r="M168" s="188">
        <f t="shared" si="8"/>
        <v>0.9982101576434107</v>
      </c>
      <c r="N168" s="189">
        <v>164</v>
      </c>
    </row>
    <row r="169" spans="2:38" ht="100.8">
      <c r="B169" s="723"/>
      <c r="C169" s="207" t="str">
        <f>CRONOGRAMA!C105</f>
        <v>INSTALAÇÃO-SISTEMA DE CHUVEIROS AUTOMÁTICOS VGA-4</v>
      </c>
      <c r="D169" s="214" t="str">
        <f>CRONOGRAMA!D105</f>
        <v>2.4</v>
      </c>
      <c r="E169" s="185">
        <f>CRONOGRAMA!E105</f>
        <v>100</v>
      </c>
      <c r="F169" s="221" t="str">
        <f>CRONOGRAMA!F105</f>
        <v>TUBO DE AÇO GALVANIZADO COM COSTURA, CLASSE MÉDIA, CONEXÃO ROSQUEADA, DN 32 (1 1/4"), INSTALADO EM  REDE DE ALIMENTAÇÃO PARA SPRINKLER - FORNECIMENTO E INSTALAÇÃO. AF_10/2020</v>
      </c>
      <c r="G169" s="186">
        <v>11431.284299999999</v>
      </c>
      <c r="H169" s="186">
        <v>4270.4455500000004</v>
      </c>
      <c r="I169" s="186">
        <v>1244.9558158595696</v>
      </c>
      <c r="J169" s="186">
        <v>3332.5431047889574</v>
      </c>
      <c r="K169" s="187">
        <f>CRONOGRAMA!K105</f>
        <v>543.18256275380429</v>
      </c>
      <c r="L169" s="186">
        <f t="shared" si="7"/>
        <v>3318299.8533542054</v>
      </c>
      <c r="M169" s="188">
        <f t="shared" si="8"/>
        <v>0.99837358444211755</v>
      </c>
      <c r="N169" s="190">
        <v>165</v>
      </c>
    </row>
    <row r="170" spans="2:38" ht="28.8">
      <c r="B170" s="723"/>
      <c r="C170" s="207" t="str">
        <f>CRONOGRAMA!C160</f>
        <v>INSTALAÇÃO-CASA DE BOMBAS</v>
      </c>
      <c r="D170" s="214" t="str">
        <f>CRONOGRAMA!D160</f>
        <v>4.18</v>
      </c>
      <c r="E170" s="185">
        <f>CRONOGRAMA!E160</f>
        <v>155</v>
      </c>
      <c r="F170" s="221" t="str">
        <f>CRONOGRAMA!F160</f>
        <v>REDUÇÃO PARA SOLDA BISELADA, DIAMETRO 8" X 6"</v>
      </c>
      <c r="G170" s="186">
        <v>1476.0664000000002</v>
      </c>
      <c r="H170" s="186">
        <v>949.38480000000004</v>
      </c>
      <c r="I170" s="186">
        <v>276.7725555589098</v>
      </c>
      <c r="J170" s="186">
        <v>430.31515746053657</v>
      </c>
      <c r="K170" s="187">
        <f>CRONOGRAMA!K160</f>
        <v>466.84874174715992</v>
      </c>
      <c r="L170" s="186">
        <f t="shared" si="7"/>
        <v>3318766.7020959524</v>
      </c>
      <c r="M170" s="188">
        <f t="shared" si="8"/>
        <v>0.99851404475983696</v>
      </c>
      <c r="N170" s="191">
        <v>166</v>
      </c>
    </row>
    <row r="171" spans="2:38" ht="86.4">
      <c r="B171" s="723"/>
      <c r="C171" s="207" t="str">
        <f>CRONOGRAMA!C25</f>
        <v>INSTALAÇÃO-SISTEMA DE CHUVEIROS AUTOMÁTICOS VGA-1</v>
      </c>
      <c r="D171" s="214" t="str">
        <f>CRONOGRAMA!D25</f>
        <v>2.11</v>
      </c>
      <c r="E171" s="185">
        <f>CRONOGRAMA!E25</f>
        <v>20</v>
      </c>
      <c r="F171" s="221" t="str">
        <f>CRONOGRAMA!F25</f>
        <v>JOELHO 90 GRAUS, EM FERRO GALVANIZADO, CONEXÃO ROSQUEADA, DN 32 (1 1/4"), INSTALADO EM REDE DE ALIMENTAÇÃO PARA SPRINKLER - FORNECIMENTO E INSTALAÇÃO. AF_10/2020</v>
      </c>
      <c r="G171" s="186">
        <v>39181.411260000001</v>
      </c>
      <c r="H171" s="186">
        <v>35122.673250000007</v>
      </c>
      <c r="I171" s="186">
        <v>10239.253918393324</v>
      </c>
      <c r="J171" s="186">
        <v>11422.490990834112</v>
      </c>
      <c r="K171" s="187">
        <f>CRONOGRAMA!K25</f>
        <v>342.65516980712738</v>
      </c>
      <c r="L171" s="186">
        <f t="shared" si="7"/>
        <v>3319109.3572657593</v>
      </c>
      <c r="M171" s="188">
        <f t="shared" si="8"/>
        <v>0.9986171390807923</v>
      </c>
      <c r="N171" s="191">
        <v>167</v>
      </c>
    </row>
    <row r="172" spans="2:38" ht="28.8">
      <c r="B172" s="723"/>
      <c r="C172" s="207" t="str">
        <f>CRONOGRAMA!C187</f>
        <v>INSTALAÇÃO-SISTEMA DE SINALIZAÇÃO DE EMERGÊNCIA</v>
      </c>
      <c r="D172" s="214" t="str">
        <f>CRONOGRAMA!D187</f>
        <v>7.4</v>
      </c>
      <c r="E172" s="185">
        <f>CRONOGRAMA!E187</f>
        <v>182</v>
      </c>
      <c r="F172" s="221" t="str">
        <f>CRONOGRAMA!F187</f>
        <v>SINAL FOT. E2 COMANDO MANUAL ALARME 150X200</v>
      </c>
      <c r="G172" s="186">
        <v>17.5</v>
      </c>
      <c r="H172" s="186">
        <v>18.03</v>
      </c>
      <c r="I172" s="186">
        <v>5.2562556054480165</v>
      </c>
      <c r="J172" s="186">
        <v>5.1017455959700655</v>
      </c>
      <c r="K172" s="187">
        <f>CRONOGRAMA!K187</f>
        <v>394.76854622081197</v>
      </c>
      <c r="L172" s="186">
        <f t="shared" si="7"/>
        <v>3319504.1258119801</v>
      </c>
      <c r="M172" s="188">
        <f t="shared" si="8"/>
        <v>0.99873591270160211</v>
      </c>
      <c r="N172" s="189">
        <v>168</v>
      </c>
    </row>
    <row r="173" spans="2:38" ht="86.4">
      <c r="B173" s="723"/>
      <c r="C173" s="207" t="str">
        <f>CRONOGRAMA!C54</f>
        <v>INSTALAÇÃO-SISTEMA DE CHUVEIROS AUTOMÁTICOS VGA-2</v>
      </c>
      <c r="D173" s="214" t="str">
        <f>CRONOGRAMA!D54</f>
        <v>2.11</v>
      </c>
      <c r="E173" s="185">
        <f>CRONOGRAMA!E54</f>
        <v>49</v>
      </c>
      <c r="F173" s="221" t="str">
        <f>CRONOGRAMA!F54</f>
        <v>JOELHO 90 GRAUS, EM FERRO GALVANIZADO, CONEXÃO ROSQUEADA, DN 32 (1 1/4"), INSTALADO EM REDE DE ALIMENTAÇÃO PARA SPRINKLER - FORNECIMENTO E INSTALAÇÃO. AF_10/2020</v>
      </c>
      <c r="G173" s="186">
        <v>31238.503400000001</v>
      </c>
      <c r="H173" s="186">
        <v>4112.2808999999997</v>
      </c>
      <c r="I173" s="186">
        <v>1198.8463411981038</v>
      </c>
      <c r="J173" s="186">
        <v>9106.9084083226244</v>
      </c>
      <c r="K173" s="187">
        <f>CRONOGRAMA!K54</f>
        <v>331.98055392528539</v>
      </c>
      <c r="L173" s="186">
        <f t="shared" si="7"/>
        <v>3319836.1063659056</v>
      </c>
      <c r="M173" s="188">
        <f t="shared" si="8"/>
        <v>0.9988357953614686</v>
      </c>
      <c r="N173" s="190">
        <v>169</v>
      </c>
    </row>
    <row r="174" spans="2:38" ht="86.4">
      <c r="B174" s="723"/>
      <c r="C174" s="207" t="str">
        <f>CRONOGRAMA!C168</f>
        <v>INSTALAÇÃO-CASA DE BOMBAS</v>
      </c>
      <c r="D174" s="214" t="str">
        <f>CRONOGRAMA!D168</f>
        <v>4.26</v>
      </c>
      <c r="E174" s="185">
        <f>CRONOGRAMA!E168</f>
        <v>163</v>
      </c>
      <c r="F174" s="221" t="str">
        <f>CRONOGRAMA!F168</f>
        <v>JOELHO 90 GRAUS, EM FERRO GALVANIZADO, CONEXÃO ROSQUEADA, DN 25 (1"), INSTALADO EM REDE DE ALIMENTAÇÃO PARA SPRINKLER - FORNECIMENTO E INSTALAÇÃO. AF_10/2020</v>
      </c>
      <c r="G174" s="186">
        <v>237.67232000000001</v>
      </c>
      <c r="H174" s="186">
        <v>302.91408000000001</v>
      </c>
      <c r="I174" s="186">
        <v>88.308032776989961</v>
      </c>
      <c r="J174" s="186">
        <v>69.288212105370761</v>
      </c>
      <c r="K174" s="187">
        <f>CRONOGRAMA!K168</f>
        <v>317.10641695755209</v>
      </c>
      <c r="L174" s="186">
        <f t="shared" si="7"/>
        <v>3320153.2127828631</v>
      </c>
      <c r="M174" s="188">
        <f t="shared" si="8"/>
        <v>0.99893120285450376</v>
      </c>
      <c r="N174" s="191">
        <v>170</v>
      </c>
    </row>
    <row r="175" spans="2:38" ht="28.8">
      <c r="B175" s="723"/>
      <c r="C175" s="207" t="str">
        <f>CRONOGRAMA!C117</f>
        <v>INSTALAÇÃO-SISTEMA DE CHUVEIROS AUTOMÁTICOS VGA-4</v>
      </c>
      <c r="D175" s="214" t="str">
        <f>CRONOGRAMA!D117</f>
        <v>2.16</v>
      </c>
      <c r="E175" s="185">
        <f>CRONOGRAMA!E117</f>
        <v>112</v>
      </c>
      <c r="F175" s="221" t="str">
        <f>CRONOGRAMA!F117</f>
        <v>COTOVELO 90 GRAUS AÇO GALVANIZADO , REDUÇÃO 4" X 2"</v>
      </c>
      <c r="G175" s="186">
        <v>768.34323999999992</v>
      </c>
      <c r="H175" s="186">
        <v>527.87699999999995</v>
      </c>
      <c r="I175" s="186">
        <v>153.89109485507944</v>
      </c>
      <c r="J175" s="186">
        <v>223.9938137636212</v>
      </c>
      <c r="K175" s="187">
        <f>CRONOGRAMA!K117</f>
        <v>339.64802098747816</v>
      </c>
      <c r="L175" s="186">
        <f t="shared" si="7"/>
        <v>3320492.8608038505</v>
      </c>
      <c r="M175" s="188">
        <f t="shared" si="8"/>
        <v>0.99903339241757749</v>
      </c>
      <c r="N175" s="191">
        <v>171</v>
      </c>
    </row>
    <row r="176" spans="2:38" ht="86.4">
      <c r="B176" s="723"/>
      <c r="C176" s="207" t="str">
        <f>CRONOGRAMA!C83</f>
        <v>INSTALAÇÃO-SISTEMA DE CHUVEIROS AUTOMÁTICOS VGA-3</v>
      </c>
      <c r="D176" s="214" t="str">
        <f>CRONOGRAMA!D83</f>
        <v>2.11</v>
      </c>
      <c r="E176" s="185">
        <f>CRONOGRAMA!E83</f>
        <v>78</v>
      </c>
      <c r="F176" s="221" t="str">
        <f>CRONOGRAMA!F83</f>
        <v>JOELHO 90 GRAUS, EM FERRO GALVANIZADO, CONEXÃO ROSQUEADA, DN 32 (1 1/4"), INSTALADO EM REDE DE ALIMENTAÇÃO PARA SPRINKLER - FORNECIMENTO E INSTALAÇÃO. AF_10/2020</v>
      </c>
      <c r="G176" s="186">
        <v>3596.04</v>
      </c>
      <c r="H176" s="186">
        <v>414.36360000000002</v>
      </c>
      <c r="I176" s="186">
        <v>120.79872408173155</v>
      </c>
      <c r="J176" s="186">
        <v>1048.3474990246968</v>
      </c>
      <c r="K176" s="187">
        <f>CRONOGRAMA!K83</f>
        <v>279.6749361042597</v>
      </c>
      <c r="L176" s="186">
        <f t="shared" si="7"/>
        <v>3320772.5357399546</v>
      </c>
      <c r="M176" s="188">
        <f t="shared" si="8"/>
        <v>0.99911753793810798</v>
      </c>
      <c r="N176" s="189">
        <v>172</v>
      </c>
    </row>
    <row r="177" spans="2:14" ht="28.8">
      <c r="B177" s="723"/>
      <c r="C177" s="207" t="str">
        <f>CRONOGRAMA!C42</f>
        <v>INSTALAÇÃO-SISTEMA DE CHUVEIROS AUTOMÁTICOS VGA-1</v>
      </c>
      <c r="D177" s="214" t="str">
        <f>CRONOGRAMA!D42</f>
        <v>2.28</v>
      </c>
      <c r="E177" s="185">
        <f>CRONOGRAMA!E42</f>
        <v>37</v>
      </c>
      <c r="F177" s="221" t="str">
        <f>CRONOGRAMA!F42</f>
        <v>VALVULA ESFERA AÇO GALVANIZADO   1.1/4" - FORCECIMENTO E INSTALAÇÃO</v>
      </c>
      <c r="G177" s="186">
        <v>12643.1</v>
      </c>
      <c r="H177" s="186">
        <v>317.52</v>
      </c>
      <c r="I177" s="186">
        <v>92.566072093280866</v>
      </c>
      <c r="J177" s="186">
        <v>3685.8216996805222</v>
      </c>
      <c r="K177" s="187">
        <f>CRONOGRAMA!K42</f>
        <v>245.73786913705939</v>
      </c>
      <c r="L177" s="186">
        <f t="shared" si="7"/>
        <v>3321018.2736090915</v>
      </c>
      <c r="M177" s="188">
        <f t="shared" si="8"/>
        <v>0.99919147284697263</v>
      </c>
      <c r="N177" s="190">
        <v>173</v>
      </c>
    </row>
    <row r="178" spans="2:14" ht="28.8">
      <c r="B178" s="723"/>
      <c r="C178" s="207" t="str">
        <f>CRONOGRAMA!C71</f>
        <v>INSTALAÇÃO-SISTEMA DE CHUVEIROS AUTOMÁTICOS VGA-2</v>
      </c>
      <c r="D178" s="214" t="str">
        <f>CRONOGRAMA!D71</f>
        <v>2.28</v>
      </c>
      <c r="E178" s="185">
        <f>CRONOGRAMA!E71</f>
        <v>66</v>
      </c>
      <c r="F178" s="221" t="str">
        <f>CRONOGRAMA!F71</f>
        <v>VALVULA ESFERA AÇO GALVANIZADO   1.1/4" - FORCECIMENTO E INSTALAÇÃO</v>
      </c>
      <c r="G178" s="186">
        <v>15675</v>
      </c>
      <c r="H178" s="186">
        <v>3741.3778499999999</v>
      </c>
      <c r="I178" s="186">
        <v>1090.7175982341403</v>
      </c>
      <c r="J178" s="186">
        <v>4569.7064123903301</v>
      </c>
      <c r="K178" s="187">
        <f>CRONOGRAMA!K71</f>
        <v>238.08248380568682</v>
      </c>
      <c r="L178" s="186">
        <f t="shared" si="7"/>
        <v>3321256.3560928972</v>
      </c>
      <c r="M178" s="188">
        <f t="shared" si="8"/>
        <v>0.99926310448764843</v>
      </c>
      <c r="N178" s="191">
        <v>174</v>
      </c>
    </row>
    <row r="179" spans="2:14">
      <c r="B179" s="723"/>
      <c r="C179" s="207" t="str">
        <f>CRONOGRAMA!C162</f>
        <v>INSTALAÇÃO-CASA DE BOMBAS</v>
      </c>
      <c r="D179" s="214" t="str">
        <f>CRONOGRAMA!D162</f>
        <v>4.20</v>
      </c>
      <c r="E179" s="185">
        <f>CRONOGRAMA!E162</f>
        <v>157</v>
      </c>
      <c r="F179" s="221" t="str">
        <f>CRONOGRAMA!F162</f>
        <v xml:space="preserve">VALVULA GLOBO 1/2" DE AUTOMAÇÃO </v>
      </c>
      <c r="G179" s="186">
        <v>1868.1999999999998</v>
      </c>
      <c r="H179" s="186">
        <v>444.84000000000003</v>
      </c>
      <c r="I179" s="186">
        <v>129.68345776636139</v>
      </c>
      <c r="J179" s="186">
        <v>544.63320699378721</v>
      </c>
      <c r="K179" s="187">
        <f>CRONOGRAMA!K162</f>
        <v>302.01098229495085</v>
      </c>
      <c r="L179" s="186">
        <f t="shared" si="7"/>
        <v>3321558.3670751923</v>
      </c>
      <c r="M179" s="188">
        <f t="shared" si="8"/>
        <v>0.99935397023223449</v>
      </c>
      <c r="N179" s="191">
        <v>175</v>
      </c>
    </row>
    <row r="180" spans="2:14" ht="28.8">
      <c r="B180" s="723"/>
      <c r="C180" s="207" t="str">
        <f>CRONOGRAMA!C100</f>
        <v>INSTALAÇÃO-SISTEMA DE CHUVEIROS AUTOMÁTICOS VGA-3</v>
      </c>
      <c r="D180" s="214" t="str">
        <f>CRONOGRAMA!D100</f>
        <v>2.28</v>
      </c>
      <c r="E180" s="185">
        <f>CRONOGRAMA!E100</f>
        <v>95</v>
      </c>
      <c r="F180" s="221" t="str">
        <f>CRONOGRAMA!F100</f>
        <v>VALVULA ESFERA AÇO GALVANIZADO   1.1/4" - FORCECIMENTO E INSTALAÇÃO</v>
      </c>
      <c r="G180" s="186">
        <v>1387.57</v>
      </c>
      <c r="H180" s="186">
        <v>617.70000000000005</v>
      </c>
      <c r="I180" s="186">
        <v>180.07704312175485</v>
      </c>
      <c r="J180" s="186">
        <v>404.51595066286762</v>
      </c>
      <c r="K180" s="187">
        <f>CRONOGRAMA!K100</f>
        <v>200.57109568196125</v>
      </c>
      <c r="L180" s="186">
        <f t="shared" si="7"/>
        <v>3321758.938170874</v>
      </c>
      <c r="M180" s="188">
        <f t="shared" si="8"/>
        <v>0.99941431585878449</v>
      </c>
      <c r="N180" s="189">
        <v>176</v>
      </c>
    </row>
    <row r="181" spans="2:14">
      <c r="B181" s="723"/>
      <c r="C181" s="207" t="str">
        <f>CRONOGRAMA!C130</f>
        <v>INSTALAÇÃO-SISTEMA DE CHUVEIROS AUTOMÁTICOS VGA-4</v>
      </c>
      <c r="D181" s="214" t="str">
        <f>CRONOGRAMA!D130</f>
        <v>2.29</v>
      </c>
      <c r="E181" s="185">
        <f>CRONOGRAMA!E130</f>
        <v>125</v>
      </c>
      <c r="F181" s="221" t="str">
        <f>CRONOGRAMA!F130</f>
        <v>REGISTRO DE  RECALQUE DUPLO</v>
      </c>
      <c r="G181" s="186">
        <v>2294.42562</v>
      </c>
      <c r="H181" s="186">
        <v>339.34949999999998</v>
      </c>
      <c r="I181" s="186">
        <v>98.929989549693929</v>
      </c>
      <c r="J181" s="186">
        <v>668.89004583519363</v>
      </c>
      <c r="K181" s="187">
        <f>CRONOGRAMA!K130</f>
        <v>235.17436591630153</v>
      </c>
      <c r="L181" s="186">
        <f t="shared" si="7"/>
        <v>3321994.1125367903</v>
      </c>
      <c r="M181" s="188">
        <f t="shared" si="8"/>
        <v>0.99948507253691632</v>
      </c>
      <c r="N181" s="190">
        <v>177</v>
      </c>
    </row>
    <row r="182" spans="2:14">
      <c r="B182" s="723"/>
      <c r="C182" s="207" t="str">
        <f>CRONOGRAMA!C172</f>
        <v>INSTALAÇÃO-SISTEMA DE ALARME DE INCÊNDIO</v>
      </c>
      <c r="D182" s="214" t="str">
        <f>CRONOGRAMA!D172</f>
        <v>5.4</v>
      </c>
      <c r="E182" s="185">
        <f>CRONOGRAMA!E172</f>
        <v>167</v>
      </c>
      <c r="F182" s="221" t="str">
        <f>CRONOGRAMA!F172</f>
        <v>PROTETOR DE SURTO AC - PKE 220/127</v>
      </c>
      <c r="G182" s="186">
        <v>270.42</v>
      </c>
      <c r="H182" s="186">
        <v>125.26164</v>
      </c>
      <c r="I182" s="186">
        <v>36.517315440799308</v>
      </c>
      <c r="J182" s="186">
        <v>78.835088232127163</v>
      </c>
      <c r="K182" s="187">
        <f>CRONOGRAMA!K172</f>
        <v>161.24731072324929</v>
      </c>
      <c r="L182" s="186">
        <f t="shared" si="7"/>
        <v>3322155.3598475135</v>
      </c>
      <c r="M182" s="188">
        <f t="shared" si="8"/>
        <v>0.99953358685530302</v>
      </c>
      <c r="N182" s="191">
        <v>178</v>
      </c>
    </row>
    <row r="183" spans="2:14" ht="28.8">
      <c r="B183" s="723"/>
      <c r="C183" s="207" t="str">
        <f>CRONOGRAMA!C166</f>
        <v>INSTALAÇÃO-CASA DE BOMBAS</v>
      </c>
      <c r="D183" s="214" t="str">
        <f>CRONOGRAMA!D166</f>
        <v>4.24</v>
      </c>
      <c r="E183" s="185">
        <f>CRONOGRAMA!E166</f>
        <v>161</v>
      </c>
      <c r="F183" s="221" t="str">
        <f>CRONOGRAMA!F166</f>
        <v>SPK PENDENTE K11 ( K160) RESPOSTA PADRÃO - CASA DE BOMBAS</v>
      </c>
      <c r="G183" s="186">
        <v>108.55</v>
      </c>
      <c r="H183" s="186">
        <v>79.38</v>
      </c>
      <c r="I183" s="186">
        <v>23.141518023320216</v>
      </c>
      <c r="J183" s="186">
        <v>31.645399111002892</v>
      </c>
      <c r="K183" s="187">
        <f>CRONOGRAMA!K166</f>
        <v>139.04397578336179</v>
      </c>
      <c r="L183" s="186">
        <f t="shared" si="7"/>
        <v>3322294.403823297</v>
      </c>
      <c r="M183" s="188">
        <f t="shared" si="8"/>
        <v>0.99957542087833684</v>
      </c>
      <c r="N183" s="191">
        <v>179</v>
      </c>
    </row>
    <row r="184" spans="2:14" ht="57.6">
      <c r="B184" s="723"/>
      <c r="C184" s="207" t="str">
        <f>CRONOGRAMA!C164</f>
        <v>INSTALAÇÃO-CASA DE BOMBAS</v>
      </c>
      <c r="D184" s="214" t="str">
        <f>CRONOGRAMA!D164</f>
        <v>4.22</v>
      </c>
      <c r="E184" s="185">
        <f>CRONOGRAMA!E164</f>
        <v>159</v>
      </c>
      <c r="F184" s="221" t="str">
        <f>CRONOGRAMA!F164</f>
        <v>VÁLVULA DE RETENÇÃO HORIZONTAL, DE BRONZE, ROSCÁVEL, 3/4" - FORNECIMENTO E INSTALAÇÃO. AF_01/2019</v>
      </c>
      <c r="G184" s="186">
        <v>225</v>
      </c>
      <c r="H184" s="186">
        <v>0</v>
      </c>
      <c r="I184" s="186">
        <v>0</v>
      </c>
      <c r="J184" s="186">
        <v>65.59387194818656</v>
      </c>
      <c r="K184" s="187">
        <f>CRONOGRAMA!K164</f>
        <v>186.44502824195646</v>
      </c>
      <c r="L184" s="186">
        <f t="shared" si="7"/>
        <v>3322480.8488515387</v>
      </c>
      <c r="M184" s="188">
        <f t="shared" si="8"/>
        <v>0.99963151640899206</v>
      </c>
      <c r="N184" s="189">
        <v>180</v>
      </c>
    </row>
    <row r="185" spans="2:14" ht="28.8">
      <c r="B185" s="723"/>
      <c r="C185" s="207" t="str">
        <f>CRONOGRAMA!C189</f>
        <v>INSTALAÇÃO-SISTEMA DE SINALIZAÇÃO DE EMERGÊNCIA</v>
      </c>
      <c r="D185" s="214" t="str">
        <f>CRONOGRAMA!D189</f>
        <v>7.6</v>
      </c>
      <c r="E185" s="185">
        <f>CRONOGRAMA!E189</f>
        <v>184</v>
      </c>
      <c r="F185" s="221" t="str">
        <f>CRONOGRAMA!F189</f>
        <v>SINAL FOT. S12 INDICAÇÃO DE SAIDA 200X100</v>
      </c>
      <c r="G185" s="192"/>
      <c r="H185" s="192"/>
      <c r="I185" s="192"/>
      <c r="J185" s="192"/>
      <c r="K185" s="187">
        <f>CRONOGRAMA!K189</f>
        <v>352.22560336759756</v>
      </c>
      <c r="L185" s="186">
        <f t="shared" si="7"/>
        <v>3322833.0744549064</v>
      </c>
      <c r="M185" s="188">
        <f t="shared" si="8"/>
        <v>0.99973749017679692</v>
      </c>
      <c r="N185" s="190">
        <v>181</v>
      </c>
    </row>
    <row r="186" spans="2:14" ht="28.8">
      <c r="B186" s="723"/>
      <c r="C186" s="207" t="str">
        <f>CRONOGRAMA!C186</f>
        <v>INSTALAÇÃO-SISTEMA DE SINALIZAÇÃO DE EMERGÊNCIA</v>
      </c>
      <c r="D186" s="214" t="str">
        <f>CRONOGRAMA!D186</f>
        <v>7.3</v>
      </c>
      <c r="E186" s="185">
        <f>CRONOGRAMA!E186</f>
        <v>181</v>
      </c>
      <c r="F186" s="221" t="str">
        <f>CRONOGRAMA!F186</f>
        <v>SINAL ADESIVA TIPO LACRE PARA HIDRANTE</v>
      </c>
      <c r="G186" s="186">
        <v>21</v>
      </c>
      <c r="H186" s="186">
        <v>18.03</v>
      </c>
      <c r="I186" s="186">
        <v>5.2562556054480165</v>
      </c>
      <c r="J186" s="186">
        <v>6.1220947151640788</v>
      </c>
      <c r="K186" s="187">
        <f>CRONOGRAMA!K186</f>
        <v>174.53713713367966</v>
      </c>
      <c r="L186" s="186">
        <f t="shared" si="7"/>
        <v>3323007.6115920399</v>
      </c>
      <c r="M186" s="188">
        <f t="shared" si="8"/>
        <v>0.99979000299206955</v>
      </c>
      <c r="N186" s="191">
        <v>182</v>
      </c>
    </row>
    <row r="187" spans="2:14" ht="28.8">
      <c r="B187" s="723"/>
      <c r="C187" s="207" t="str">
        <f>CRONOGRAMA!C179</f>
        <v>INSTALAÇÃO-EXTINTOR DE INCÊNDIO</v>
      </c>
      <c r="D187" s="214" t="str">
        <f>CRONOGRAMA!D179</f>
        <v>6.3</v>
      </c>
      <c r="E187" s="185">
        <f>CRONOGRAMA!E179</f>
        <v>174</v>
      </c>
      <c r="F187" s="221" t="str">
        <f>CRONOGRAMA!F179</f>
        <v>EXTINTOR DE CO2 6KG - FORNECIMENTO E INSTALACAO</v>
      </c>
      <c r="G187" s="193">
        <v>64</v>
      </c>
      <c r="H187" s="193">
        <v>18.03</v>
      </c>
      <c r="I187" s="193">
        <v>5.2562556054480165</v>
      </c>
      <c r="J187" s="193">
        <v>18.657812465261955</v>
      </c>
      <c r="K187" s="187">
        <f>CRONOGRAMA!K179</f>
        <v>104.3167423878001</v>
      </c>
      <c r="L187" s="186">
        <f t="shared" si="7"/>
        <v>3323111.9283344275</v>
      </c>
      <c r="M187" s="188">
        <f t="shared" si="8"/>
        <v>0.999821388666848</v>
      </c>
      <c r="N187" s="191">
        <v>183</v>
      </c>
    </row>
    <row r="188" spans="2:14" ht="57.6">
      <c r="B188" s="723"/>
      <c r="C188" s="207" t="str">
        <f>CRONOGRAMA!C165</f>
        <v>INSTALAÇÃO-CASA DE BOMBAS</v>
      </c>
      <c r="D188" s="214" t="str">
        <f>CRONOGRAMA!D165</f>
        <v>4.23</v>
      </c>
      <c r="E188" s="185">
        <f>CRONOGRAMA!E165</f>
        <v>160</v>
      </c>
      <c r="F188" s="221" t="str">
        <f>CRONOGRAMA!F165</f>
        <v>REGISTRO DE GAVETA BRUTO, LATÃO, ROSCÁVEL, 3/4", FORNECIDO E INSTALADO EM RAMAL DE ÁGUA. AF_12/2014</v>
      </c>
      <c r="G188" s="194">
        <v>1404.1877199999999</v>
      </c>
      <c r="H188" s="194">
        <v>602.65296000000001</v>
      </c>
      <c r="I188" s="194">
        <v>175.6904048330471</v>
      </c>
      <c r="J188" s="194">
        <v>409.36048665287126</v>
      </c>
      <c r="K188" s="187">
        <f>CRONOGRAMA!K165</f>
        <v>111.03268965060266</v>
      </c>
      <c r="L188" s="186">
        <f t="shared" si="7"/>
        <v>3323222.9610240781</v>
      </c>
      <c r="M188" s="188">
        <f t="shared" si="8"/>
        <v>0.9998547949620159</v>
      </c>
      <c r="N188" s="189">
        <v>184</v>
      </c>
    </row>
    <row r="189" spans="2:14" ht="43.2">
      <c r="B189" s="723"/>
      <c r="C189" s="207" t="str">
        <f>CRONOGRAMA!C161</f>
        <v>INSTALAÇÃO-CASA DE BOMBAS</v>
      </c>
      <c r="D189" s="214" t="str">
        <f>CRONOGRAMA!D161</f>
        <v>4.19</v>
      </c>
      <c r="E189" s="185">
        <f>CRONOGRAMA!E161</f>
        <v>156</v>
      </c>
      <c r="F189" s="221" t="str">
        <f>CRONOGRAMA!F161</f>
        <v xml:space="preserve">VALVULA DE RETENÇÃO 1/2" COM ORIFICIO DE 3,00MMM PARA AUTOMAÇÃO </v>
      </c>
      <c r="G189" s="194">
        <v>128.52000000000001</v>
      </c>
      <c r="H189" s="194">
        <v>128.52000000000001</v>
      </c>
      <c r="I189" s="194">
        <v>37.467219656804168</v>
      </c>
      <c r="J189" s="194">
        <v>37.467219656804168</v>
      </c>
      <c r="K189" s="187">
        <f>CRONOGRAMA!K161</f>
        <v>116.62500727520555</v>
      </c>
      <c r="L189" s="186">
        <f t="shared" si="7"/>
        <v>3323339.5860313531</v>
      </c>
      <c r="M189" s="188">
        <f t="shared" si="8"/>
        <v>0.99988988381223876</v>
      </c>
      <c r="N189" s="190">
        <v>185</v>
      </c>
    </row>
    <row r="190" spans="2:14" ht="86.4">
      <c r="B190" s="723"/>
      <c r="C190" s="207" t="str">
        <f>CRONOGRAMA!C112</f>
        <v>INSTALAÇÃO-SISTEMA DE CHUVEIROS AUTOMÁTICOS VGA-4</v>
      </c>
      <c r="D190" s="214" t="str">
        <f>CRONOGRAMA!D112</f>
        <v>2.11</v>
      </c>
      <c r="E190" s="185">
        <f>CRONOGRAMA!E112</f>
        <v>107</v>
      </c>
      <c r="F190" s="221" t="str">
        <f>CRONOGRAMA!F112</f>
        <v>JOELHO 90 GRAUS, EM FERRO GALVANIZADO, CONEXÃO ROSQUEADA, DN 32 (1 1/4"), INSTALADO EM REDE DE ALIMENTAÇÃO PARA SPRINKLER - FORNECIMENTO E INSTALAÇÃO. AF_10/2020</v>
      </c>
      <c r="G190" s="194">
        <v>4189.7375000000002</v>
      </c>
      <c r="H190" s="194">
        <v>960.45</v>
      </c>
      <c r="I190" s="194">
        <v>279.9983747228257</v>
      </c>
      <c r="J190" s="194">
        <v>1221.427133651179</v>
      </c>
      <c r="K190" s="187">
        <f>CRONOGRAMA!K112</f>
        <v>113.15092834752491</v>
      </c>
      <c r="L190" s="186">
        <f t="shared" si="7"/>
        <v>3323452.7369597005</v>
      </c>
      <c r="M190" s="188">
        <f t="shared" si="8"/>
        <v>0.99992392741978164</v>
      </c>
      <c r="N190" s="191">
        <v>186</v>
      </c>
    </row>
    <row r="191" spans="2:14" ht="28.8">
      <c r="B191" s="723"/>
      <c r="C191" s="207" t="str">
        <f>CRONOGRAMA!C129</f>
        <v>INSTALAÇÃO-SISTEMA DE CHUVEIROS AUTOMÁTICOS VGA-4</v>
      </c>
      <c r="D191" s="214" t="str">
        <f>CRONOGRAMA!D129</f>
        <v>2.28</v>
      </c>
      <c r="E191" s="185">
        <f>CRONOGRAMA!E129</f>
        <v>124</v>
      </c>
      <c r="F191" s="221" t="str">
        <f>CRONOGRAMA!F129</f>
        <v>VALVULA ESFERA AÇO GALVANIZADO   1.1/4" - FORCECIMENTO E INSTALAÇÃO</v>
      </c>
      <c r="G191" s="194">
        <v>2294.42562</v>
      </c>
      <c r="H191" s="194">
        <v>339.34949999999998</v>
      </c>
      <c r="I191" s="194">
        <v>98.929989549693929</v>
      </c>
      <c r="J191" s="194">
        <v>668.89004583519363</v>
      </c>
      <c r="K191" s="187">
        <f>CRONOGRAMA!K129</f>
        <v>81.147084512549199</v>
      </c>
      <c r="L191" s="186">
        <f t="shared" si="7"/>
        <v>3323533.8840442132</v>
      </c>
      <c r="M191" s="188">
        <f t="shared" si="8"/>
        <v>0.99994834206258432</v>
      </c>
      <c r="N191" s="191">
        <v>187</v>
      </c>
    </row>
    <row r="192" spans="2:14" ht="28.8">
      <c r="B192" s="723"/>
      <c r="C192" s="207" t="str">
        <f>CRONOGRAMA!C193</f>
        <v>INSTALAÇÃO-SISTEMA DE SINALIZAÇÃO DE EMERGÊNCIA</v>
      </c>
      <c r="D192" s="214" t="str">
        <f>CRONOGRAMA!D193</f>
        <v>7.10</v>
      </c>
      <c r="E192" s="185">
        <f>CRONOGRAMA!E193</f>
        <v>188</v>
      </c>
      <c r="F192" s="221" t="str">
        <f>CRONOGRAMA!F193</f>
        <v>SINAL FOT. S9 ACESSO ESCADA ESQUERDA `DESCER` 200X100</v>
      </c>
      <c r="G192" s="193"/>
      <c r="H192" s="193"/>
      <c r="I192" s="193"/>
      <c r="J192" s="193"/>
      <c r="K192" s="187">
        <f>CRONOGRAMA!K193</f>
        <v>77.775835416532416</v>
      </c>
      <c r="L192" s="186">
        <f t="shared" si="7"/>
        <v>3323611.65987963</v>
      </c>
      <c r="M192" s="188">
        <f t="shared" si="8"/>
        <v>0.99997174240101649</v>
      </c>
      <c r="N192" s="189">
        <v>188</v>
      </c>
    </row>
    <row r="193" spans="2:14" ht="28.8">
      <c r="B193" s="723"/>
      <c r="C193" s="207" t="str">
        <f>CRONOGRAMA!C192</f>
        <v>INSTALAÇÃO-SISTEMA DE SINALIZAÇÃO DE EMERGÊNCIA</v>
      </c>
      <c r="D193" s="214" t="str">
        <f>CRONOGRAMA!D192</f>
        <v>7.9</v>
      </c>
      <c r="E193" s="185">
        <f>CRONOGRAMA!E192</f>
        <v>187</v>
      </c>
      <c r="F193" s="221" t="str">
        <f>CRONOGRAMA!F192</f>
        <v>SINAL FOT. S3 ROTA DE SAIDA `SEGUIR ADIANTE CIMA` 380x180</v>
      </c>
      <c r="G193" s="195"/>
      <c r="H193" s="195"/>
      <c r="I193" s="195"/>
      <c r="J193" s="195"/>
      <c r="K193" s="187">
        <f>CRONOGRAMA!K192</f>
        <v>93.919939413653893</v>
      </c>
      <c r="L193" s="186">
        <f t="shared" si="7"/>
        <v>3323705.5798190436</v>
      </c>
      <c r="M193" s="188">
        <f t="shared" si="8"/>
        <v>1</v>
      </c>
      <c r="N193" s="190">
        <v>189</v>
      </c>
    </row>
    <row r="194" spans="2:14" ht="28.8">
      <c r="B194" s="723"/>
      <c r="C194" s="207" t="str">
        <f>CRONOGRAMA!C145</f>
        <v>INSTALAÇÃO-CASA DE BOMBAS</v>
      </c>
      <c r="D194" s="214" t="str">
        <f>CRONOGRAMA!D145</f>
        <v>4.3</v>
      </c>
      <c r="E194" s="185">
        <f>CRONOGRAMA!E145</f>
        <v>140</v>
      </c>
      <c r="F194" s="221" t="str">
        <f>CRONOGRAMA!F145</f>
        <v>Bomba diesel vazão 328m³/h e pressão 84 mca - SPK</v>
      </c>
      <c r="G194" s="193">
        <v>16.72</v>
      </c>
      <c r="H194" s="193">
        <v>461.01600000000008</v>
      </c>
      <c r="I194" s="193">
        <v>134.39921986695634</v>
      </c>
      <c r="J194" s="193">
        <v>4.874353506549685</v>
      </c>
      <c r="K194" s="187">
        <f>CRONOGRAMA!K145</f>
        <v>0</v>
      </c>
      <c r="L194" s="186">
        <f t="shared" si="7"/>
        <v>3323705.5798190436</v>
      </c>
      <c r="M194" s="188">
        <f t="shared" si="8"/>
        <v>1</v>
      </c>
      <c r="N194" s="191">
        <v>190</v>
      </c>
    </row>
    <row r="195" spans="2:14">
      <c r="B195" s="723"/>
      <c r="C195" s="207" t="str">
        <f>CRONOGRAMA!C146</f>
        <v>INSTALAÇÃO-CASA DE BOMBAS</v>
      </c>
      <c r="D195" s="214" t="str">
        <f>CRONOGRAMA!D146</f>
        <v>4.4</v>
      </c>
      <c r="E195" s="185">
        <f>CRONOGRAMA!E146</f>
        <v>141</v>
      </c>
      <c r="F195" s="221" t="str">
        <f>CRONOGRAMA!F146</f>
        <v xml:space="preserve">TANQUE ÓLEO DIESEL </v>
      </c>
      <c r="G195" s="193">
        <v>1274.6809000000001</v>
      </c>
      <c r="H195" s="193">
        <v>188.52750000000003</v>
      </c>
      <c r="I195" s="193">
        <v>54.96110530538553</v>
      </c>
      <c r="J195" s="193">
        <v>371.60558101955201</v>
      </c>
      <c r="K195" s="187">
        <f>CRONOGRAMA!K146</f>
        <v>0</v>
      </c>
      <c r="L195" s="186">
        <f t="shared" si="7"/>
        <v>3323705.5798190436</v>
      </c>
      <c r="M195" s="188">
        <f t="shared" si="8"/>
        <v>1</v>
      </c>
      <c r="N195" s="191">
        <v>191</v>
      </c>
    </row>
    <row r="196" spans="2:14" ht="28.8">
      <c r="B196" s="723"/>
      <c r="C196" s="207" t="str">
        <f>CRONOGRAMA!C147</f>
        <v>INSTALAÇÃO-CASA DE BOMBAS</v>
      </c>
      <c r="D196" s="214" t="str">
        <f>CRONOGRAMA!D147</f>
        <v>4.5</v>
      </c>
      <c r="E196" s="185">
        <f>CRONOGRAMA!E147</f>
        <v>142</v>
      </c>
      <c r="F196" s="221" t="str">
        <f>CRONOGRAMA!F147</f>
        <v xml:space="preserve">VALVULA DE ALIVIO 3/4"  ARREFECIMENTO DAS BOMBAS </v>
      </c>
      <c r="G196" s="193">
        <v>1488.375</v>
      </c>
      <c r="H196" s="193">
        <v>2926.93905</v>
      </c>
      <c r="I196" s="193">
        <v>853.28562331487478</v>
      </c>
      <c r="J196" s="193">
        <v>433.90346293725412</v>
      </c>
      <c r="K196" s="187">
        <f>CRONOGRAMA!K147</f>
        <v>0</v>
      </c>
      <c r="L196" s="186">
        <f t="shared" si="7"/>
        <v>3323705.5798190436</v>
      </c>
      <c r="M196" s="188">
        <f t="shared" si="8"/>
        <v>1</v>
      </c>
      <c r="N196" s="189">
        <v>192</v>
      </c>
    </row>
    <row r="197" spans="2:14" ht="28.8">
      <c r="B197" s="723"/>
      <c r="C197" s="207" t="str">
        <f>CRONOGRAMA!C148</f>
        <v>INSTALAÇÃO-CASA DE BOMBAS</v>
      </c>
      <c r="D197" s="214" t="str">
        <f>CRONOGRAMA!D148</f>
        <v>4.6</v>
      </c>
      <c r="E197" s="185">
        <f>CRONOGRAMA!E148</f>
        <v>143</v>
      </c>
      <c r="F197" s="221" t="str">
        <f>CRONOGRAMA!F148</f>
        <v xml:space="preserve">PAINEL CONTROLADOR DA BOMBA PRINCIPAL </v>
      </c>
      <c r="G197" s="193">
        <v>1274.6809000000001</v>
      </c>
      <c r="H197" s="193">
        <v>188.52750000000003</v>
      </c>
      <c r="I197" s="193">
        <v>54.96110530538553</v>
      </c>
      <c r="J197" s="193">
        <v>371.60558101955201</v>
      </c>
      <c r="K197" s="187">
        <f>CRONOGRAMA!K148</f>
        <v>0</v>
      </c>
      <c r="L197" s="186">
        <f t="shared" si="7"/>
        <v>3323705.5798190436</v>
      </c>
      <c r="M197" s="188">
        <f t="shared" ref="M197:M199" si="9">L197/$K$208</f>
        <v>1</v>
      </c>
      <c r="N197" s="190">
        <v>193</v>
      </c>
    </row>
    <row r="198" spans="2:14">
      <c r="B198" s="723"/>
      <c r="C198" s="207" t="str">
        <f>CRONOGRAMA!C149</f>
        <v>INSTALAÇÃO-CASA DE BOMBAS</v>
      </c>
      <c r="D198" s="214" t="str">
        <f>CRONOGRAMA!D149</f>
        <v>4.7</v>
      </c>
      <c r="E198" s="185">
        <f>CRONOGRAMA!E149</f>
        <v>144</v>
      </c>
      <c r="F198" s="221" t="str">
        <f>CRONOGRAMA!F149</f>
        <v>PAINEL CONTROLADOR BOMBA JOCKEY</v>
      </c>
      <c r="G198" s="193">
        <v>323.79866944444444</v>
      </c>
      <c r="H198" s="193">
        <v>85.740000000000009</v>
      </c>
      <c r="I198" s="193">
        <v>24.995638137055629</v>
      </c>
      <c r="J198" s="193">
        <v>94.396482046809226</v>
      </c>
      <c r="K198" s="187">
        <f>CRONOGRAMA!K149</f>
        <v>0</v>
      </c>
      <c r="L198" s="186">
        <f t="shared" si="7"/>
        <v>3323705.5798190436</v>
      </c>
      <c r="M198" s="188">
        <f t="shared" si="9"/>
        <v>1</v>
      </c>
      <c r="N198" s="191">
        <v>194</v>
      </c>
    </row>
    <row r="199" spans="2:14" ht="43.2">
      <c r="B199" s="723"/>
      <c r="C199" s="207" t="str">
        <f>CRONOGRAMA!C151</f>
        <v>INSTALAÇÃO-CASA DE BOMBAS</v>
      </c>
      <c r="D199" s="214" t="str">
        <f>CRONOGRAMA!D151</f>
        <v>4.9</v>
      </c>
      <c r="E199" s="185">
        <f>CRONOGRAMA!E151</f>
        <v>146</v>
      </c>
      <c r="F199" s="221" t="str">
        <f>CRONOGRAMA!F151</f>
        <v>Bomba elétrica vazão 110m³/h pressão 94mca- hidrantes -FORNCECIMENTO E INSTALAÇÃO</v>
      </c>
      <c r="G199" s="193">
        <v>1274.6809000000001</v>
      </c>
      <c r="H199" s="193">
        <v>188.52750000000003</v>
      </c>
      <c r="I199" s="193">
        <v>54.96110530538553</v>
      </c>
      <c r="J199" s="193">
        <v>371.60558101955201</v>
      </c>
      <c r="K199" s="187">
        <f>CRONOGRAMA!K151</f>
        <v>0</v>
      </c>
      <c r="L199" s="186">
        <f t="shared" ref="L199:L200" si="10">L198+K199</f>
        <v>3323705.5798190436</v>
      </c>
      <c r="M199" s="188">
        <f t="shared" si="9"/>
        <v>1</v>
      </c>
      <c r="N199" s="191">
        <v>195</v>
      </c>
    </row>
    <row r="200" spans="2:14">
      <c r="B200" s="723"/>
      <c r="C200" s="207" t="str">
        <f>CRONOGRAMA!C170</f>
        <v>INSTALAÇÃO-SISTEMA DE ALARME DE INCÊNDIO</v>
      </c>
      <c r="D200" s="214" t="str">
        <f>CRONOGRAMA!D170</f>
        <v>5.2</v>
      </c>
      <c r="E200" s="185">
        <f>CRONOGRAMA!E170</f>
        <v>165</v>
      </c>
      <c r="F200" s="221" t="str">
        <f>CRONOGRAMA!F170</f>
        <v xml:space="preserve">BATERIA DO SISTEMA DE ALARME </v>
      </c>
      <c r="G200" s="193">
        <v>1274.6809000000001</v>
      </c>
      <c r="H200" s="193">
        <v>188.52750000000003</v>
      </c>
      <c r="I200" s="193">
        <v>54.96110530538553</v>
      </c>
      <c r="J200" s="193">
        <v>371.60558101955201</v>
      </c>
      <c r="K200" s="187">
        <f>CRONOGRAMA!K170</f>
        <v>0</v>
      </c>
      <c r="L200" s="186">
        <f t="shared" si="10"/>
        <v>3323705.5798190436</v>
      </c>
      <c r="M200" s="188">
        <f t="shared" ref="M200" si="11">L200/$K$208</f>
        <v>1</v>
      </c>
      <c r="N200" s="189">
        <v>196</v>
      </c>
    </row>
    <row r="201" spans="2:14">
      <c r="B201" s="723"/>
      <c r="C201" s="207"/>
      <c r="D201" s="214"/>
      <c r="E201" s="185"/>
      <c r="F201" s="221"/>
      <c r="G201" s="193"/>
      <c r="H201" s="193"/>
      <c r="I201" s="193"/>
      <c r="J201" s="193"/>
      <c r="K201" s="187"/>
      <c r="L201" s="186"/>
      <c r="M201" s="188"/>
      <c r="N201" s="190"/>
    </row>
    <row r="202" spans="2:14">
      <c r="B202" s="723"/>
      <c r="C202" s="207"/>
      <c r="D202" s="214"/>
      <c r="E202" s="185"/>
      <c r="F202" s="221"/>
      <c r="G202" s="193"/>
      <c r="H202" s="193"/>
      <c r="I202" s="193"/>
      <c r="J202" s="193"/>
      <c r="K202" s="187"/>
      <c r="L202" s="186"/>
      <c r="M202" s="188"/>
      <c r="N202" s="191"/>
    </row>
    <row r="203" spans="2:14" ht="15" thickBot="1">
      <c r="B203" s="720"/>
      <c r="C203" s="210"/>
      <c r="D203" s="215"/>
      <c r="E203" s="196"/>
      <c r="F203" s="222" t="s">
        <v>161</v>
      </c>
      <c r="G203" s="197"/>
      <c r="H203" s="197"/>
      <c r="I203" s="197"/>
      <c r="J203" s="197"/>
      <c r="K203" s="198"/>
      <c r="L203" s="186">
        <f>L200</f>
        <v>3323705.5798190436</v>
      </c>
      <c r="M203" s="188">
        <f>L203/$K$208</f>
        <v>1</v>
      </c>
      <c r="N203" s="191"/>
    </row>
    <row r="205" spans="2:14">
      <c r="D205" s="204"/>
      <c r="E205" t="s">
        <v>507</v>
      </c>
    </row>
    <row r="206" spans="2:14">
      <c r="D206" s="154"/>
      <c r="E206" t="s">
        <v>508</v>
      </c>
      <c r="L206" s="199"/>
      <c r="M206" s="200"/>
    </row>
    <row r="207" spans="2:14" ht="15" thickBot="1">
      <c r="D207" s="216"/>
      <c r="E207" t="s">
        <v>531</v>
      </c>
      <c r="N207" s="201"/>
    </row>
    <row r="208" spans="2:14" s="166" customFormat="1" ht="15" thickBot="1">
      <c r="B208"/>
      <c r="C208" s="208"/>
      <c r="D208" s="1"/>
      <c r="E208"/>
      <c r="F208" s="223" t="s">
        <v>580</v>
      </c>
      <c r="G208" s="202"/>
      <c r="H208" s="202"/>
      <c r="I208" s="202"/>
      <c r="J208" s="202"/>
      <c r="K208" s="203">
        <f>SUM(K5:K203)</f>
        <v>3323705.5798190436</v>
      </c>
      <c r="M208" s="167"/>
      <c r="N208" s="1"/>
    </row>
  </sheetData>
  <autoFilter ref="C4:K203" xr:uid="{6C76C19B-F7EA-4E4B-ADCC-E2EB3F3DBCED}">
    <sortState xmlns:xlrd2="http://schemas.microsoft.com/office/spreadsheetml/2017/richdata2" ref="C5:K203">
      <sortCondition descending="1" ref="K4:K203"/>
    </sortState>
  </autoFilter>
  <mergeCells count="3">
    <mergeCell ref="B5:B6"/>
    <mergeCell ref="B7:B15"/>
    <mergeCell ref="B16:B203"/>
  </mergeCells>
  <pageMargins left="0.511811024" right="0.511811024" top="0.78740157499999996" bottom="0.78740157499999996" header="0.31496062000000002" footer="0.31496062000000002"/>
  <pageSetup paperSize="9" scale="31" fitToHeight="0" orientation="portrait" r:id="rId1"/>
  <rowBreaks count="4" manualBreakCount="4">
    <brk id="45" min="1" max="13" man="1"/>
    <brk id="75" min="1" max="13" man="1"/>
    <brk id="119" min="1" max="13" man="1"/>
    <brk id="168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7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Preços</vt:lpstr>
      <vt:lpstr>CRONOGRAMA</vt:lpstr>
      <vt:lpstr>BDI_SERVIÇOS_MATERIAIS</vt:lpstr>
      <vt:lpstr>BDI_DIFERENCIADO</vt:lpstr>
      <vt:lpstr>CRONOGRAMA_Fisico-Finaceiro</vt:lpstr>
      <vt:lpstr>COMPOSIÇÃO ENCARGO DESONERADO</vt:lpstr>
      <vt:lpstr>Dados_Curva ABC </vt:lpstr>
      <vt:lpstr>curva abc</vt:lpstr>
      <vt:lpstr>BDI_DIFERENCIADO!Area_de_impressao</vt:lpstr>
      <vt:lpstr>BDI_SERVIÇOS_MATERIAIS!Area_de_impressao</vt:lpstr>
      <vt:lpstr>'COMPOSIÇÃO ENCARGO DESONERADO'!Area_de_impressao</vt:lpstr>
      <vt:lpstr>'CRONOGRAMA_Fisico-Finaceiro'!Area_de_impressao</vt:lpstr>
      <vt:lpstr>'Dados_Curva ABC '!Area_de_impressao</vt:lpstr>
      <vt:lpstr>Preços!Area_de_impressao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Wlamir Marcus Santos Chaves</cp:lastModifiedBy>
  <cp:lastPrinted>2020-10-21T17:48:58Z</cp:lastPrinted>
  <dcterms:created xsi:type="dcterms:W3CDTF">2020-04-09T18:42:43Z</dcterms:created>
  <dcterms:modified xsi:type="dcterms:W3CDTF">2023-03-07T19:18:58Z</dcterms:modified>
</cp:coreProperties>
</file>